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omments4.xml" ContentType="application/vnd.openxmlformats-officedocument.spreadsheetml.comments+xml"/>
  <Override PartName="/xl/drawings/drawing22.xml" ContentType="application/vnd.openxmlformats-officedocument.drawing+xml"/>
  <Override PartName="/xl/drawings/drawing23.xml" ContentType="application/vnd.openxmlformats-officedocument.drawing+xml"/>
  <Override PartName="/xl/comments5.xml" ContentType="application/vnd.openxmlformats-officedocument.spreadsheetml.comments+xml"/>
  <Override PartName="/xl/drawings/drawing24.xml" ContentType="application/vnd.openxmlformats-officedocument.drawing+xml"/>
  <Override PartName="/xl/comments6.xml" ContentType="application/vnd.openxmlformats-officedocument.spreadsheetml.comments+xml"/>
  <Override PartName="/xl/drawings/drawing25.xml" ContentType="application/vnd.openxmlformats-officedocument.drawing+xml"/>
  <Override PartName="/xl/comments7.xml" ContentType="application/vnd.openxmlformats-officedocument.spreadsheetml.comments+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omments8.xml" ContentType="application/vnd.openxmlformats-officedocument.spreadsheetml.comments+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lex\Desktop\PAI 2022\"/>
    </mc:Choice>
  </mc:AlternateContent>
  <bookViews>
    <workbookView xWindow="0" yWindow="0" windowWidth="20490" windowHeight="7650" tabRatio="1000" activeTab="32"/>
  </bookViews>
  <sheets>
    <sheet name="Datos Generales" sheetId="38" r:id="rId1"/>
    <sheet name="Hoja1" sheetId="41" state="hidden" r:id="rId2"/>
    <sheet name="Anexo 1 Matriz Inf Gestión-GD" sheetId="42" r:id="rId3"/>
    <sheet name="Anexo 5.2-A (1)" sheetId="43" r:id="rId4"/>
    <sheet name="Anexo 3 Matriz IMG" sheetId="19" r:id="rId5"/>
    <sheet name="Hoja2" sheetId="44" r:id="rId6"/>
    <sheet name="1POMCAS" sheetId="1" r:id="rId7"/>
    <sheet name="2PORH" sheetId="2" r:id="rId8"/>
    <sheet name="3PSMV" sheetId="3" r:id="rId9"/>
    <sheet name="4UsoAguas" sheetId="4" r:id="rId10"/>
    <sheet name="5PUEAA" sheetId="5" r:id="rId11"/>
    <sheet name="6POMCASejec" sheetId="6" r:id="rId12"/>
    <sheet name="7Clima" sheetId="8" r:id="rId13"/>
    <sheet name="8Suelo" sheetId="9" r:id="rId14"/>
    <sheet name="9RUNAP" sheetId="10" r:id="rId15"/>
    <sheet name="10Paramos" sheetId="11" r:id="rId16"/>
    <sheet name="11Forest" sheetId="12" r:id="rId17"/>
    <sheet name="12PlanesAP" sheetId="13" r:id="rId18"/>
    <sheet name="13Amenaz" sheetId="14" r:id="rId19"/>
    <sheet name="14Invasor" sheetId="15" r:id="rId20"/>
    <sheet name="15Restaura" sheetId="16" r:id="rId21"/>
    <sheet name="16MIZC" sheetId="17" state="hidden" r:id="rId22"/>
    <sheet name="17PGIRS" sheetId="18" r:id="rId23"/>
    <sheet name="18Sector" sheetId="20" r:id="rId24"/>
    <sheet name="19GAU" sheetId="21" r:id="rId25"/>
    <sheet name="20Negoc" sheetId="22" r:id="rId26"/>
    <sheet name="21TiempoT" sheetId="23" r:id="rId27"/>
    <sheet name="22Autor" sheetId="24" r:id="rId28"/>
    <sheet name="23Sanc" sheetId="25" r:id="rId29"/>
    <sheet name="24POT" sheetId="26" r:id="rId30"/>
    <sheet name="25Redes" sheetId="27" r:id="rId31"/>
    <sheet name="26SIAC" sheetId="28" r:id="rId32"/>
    <sheet name="27Educa" sheetId="29" r:id="rId33"/>
    <sheet name="Observa" sheetId="32" r:id="rId34"/>
    <sheet name="Formulas" sheetId="33" r:id="rId35"/>
    <sheet name="Hoja3" sheetId="45" r:id="rId36"/>
  </sheets>
  <externalReferences>
    <externalReference r:id="rId37"/>
    <externalReference r:id="rId38"/>
    <externalReference r:id="rId39"/>
  </externalReferences>
  <definedNames>
    <definedName name="_xlnm._FilterDatabase" localSheetId="8" hidden="1">'3PSMV'!$E$6:$E$75</definedName>
    <definedName name="_xlnm._FilterDatabase" localSheetId="2" hidden="1">'Anexo 1 Matriz Inf Gestión-GD'!$A$7:$AQ$224</definedName>
    <definedName name="_xlnm._FilterDatabase" localSheetId="3" hidden="1">'Anexo 5.2-A (1)'!$A$1:$BM$218</definedName>
    <definedName name="_Toc467769469" localSheetId="7">'2PORH'!#REF!</definedName>
    <definedName name="_Toc467769470" localSheetId="8">'3PSMV'!#REF!</definedName>
    <definedName name="_Toc467769471" localSheetId="9">'4UsoAguas'!#REF!</definedName>
    <definedName name="_Toc467769472" localSheetId="10">'5PUEAA'!#REF!</definedName>
    <definedName name="_Toc467769473" localSheetId="11">'6POMCASejec'!#REF!</definedName>
    <definedName name="_Toc467769474" localSheetId="12">'7Clima'!#REF!</definedName>
    <definedName name="_Toc467769475" localSheetId="13">'8Suelo'!#REF!</definedName>
    <definedName name="_Toc467769476" localSheetId="14">'9RUNAP'!$B$6</definedName>
    <definedName name="_Toc467769477" localSheetId="15">'10Paramos'!#REF!</definedName>
    <definedName name="_Toc467769478" localSheetId="16">'11Forest'!#REF!</definedName>
    <definedName name="_Toc467769479" localSheetId="17">'12PlanesAP'!#REF!</definedName>
    <definedName name="_Toc467769480" localSheetId="18">'13Amenaz'!#REF!</definedName>
    <definedName name="_Toc467769481" localSheetId="19">'14Invasor'!#REF!</definedName>
    <definedName name="_Toc467769482" localSheetId="20">'15Restaura'!#REF!</definedName>
    <definedName name="_Toc467769483" localSheetId="21">'16MIZC'!#REF!</definedName>
    <definedName name="_Toc467769484" localSheetId="22">'17PGIRS'!#REF!</definedName>
    <definedName name="_Toc467769485" localSheetId="23">'18Sector'!#REF!</definedName>
    <definedName name="_Toc467769486" localSheetId="24">'19GAU'!#REF!</definedName>
    <definedName name="_Toc467769487" localSheetId="25">'20Negoc'!#REF!</definedName>
    <definedName name="_Toc467769488" localSheetId="26">'21TiempoT'!#REF!</definedName>
    <definedName name="_Toc467769489" localSheetId="27">'22Autor'!#REF!</definedName>
    <definedName name="_Toc467769490" localSheetId="28">'23Sanc'!#REF!</definedName>
    <definedName name="_Toc467769491" localSheetId="29">'24POT'!#REF!</definedName>
    <definedName name="_Toc467769492" localSheetId="30">'25Redes'!#REF!</definedName>
    <definedName name="_Toc467769493" localSheetId="31">'26SIAC'!#REF!</definedName>
    <definedName name="_Toc467769494" localSheetId="32">'27Educa'!#REF!</definedName>
    <definedName name="_xlnm.Print_Area" localSheetId="2">'Anexo 1 Matriz Inf Gestión-GD'!$A$3:$AL$224</definedName>
    <definedName name="ing">'[1]Datos Generales'!$H$5:$H$36</definedName>
    <definedName name="Lista_CAR" localSheetId="2">'[2]Datos Generales'!$H$5:$H$37</definedName>
    <definedName name="Lista_CAR" localSheetId="3">'[3]Datos Generales'!$H$5:$H$36</definedName>
    <definedName name="Lista_CAR">'Datos Generales'!$H$5:$H$37</definedName>
    <definedName name="REPORTE" comment="SI SE REPORTA" localSheetId="2">[2]Formulas!$F$33:$F$34</definedName>
    <definedName name="REPORTE" comment="SI SE REPORTA" localSheetId="3">[3]Formulas!$F$33:$F$34</definedName>
    <definedName name="REPORTE" comment="SI SE REPORTA">Formulas!$F$33:$F$34</definedName>
    <definedName name="SI" comment="OPCION SI O NO" localSheetId="2">[2]Formulas!$D$33:$D$34</definedName>
    <definedName name="SI" comment="OPCION SI O NO" localSheetId="3">[3]Formulas!$D$33:$D$34</definedName>
    <definedName name="SI" comment="OPCION SI O NO">Formulas!$D$33:$D$34</definedName>
    <definedName name="Vigencias" localSheetId="3">'[3]Datos Generales'!$H$38:$H$45</definedName>
    <definedName name="Vigencias">'Datos Generales'!$H$39:$H$46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49" i="23" l="1"/>
  <c r="D8" i="6" l="1"/>
  <c r="D8" i="5"/>
  <c r="O58" i="27" l="1"/>
  <c r="N58" i="27"/>
  <c r="M58" i="27"/>
  <c r="L58" i="27"/>
  <c r="K58" i="27"/>
  <c r="J58" i="27"/>
  <c r="I58" i="27"/>
  <c r="H58" i="27"/>
  <c r="G58" i="27"/>
  <c r="E58" i="27"/>
  <c r="U36" i="27"/>
  <c r="T36" i="27"/>
  <c r="S36" i="27"/>
  <c r="R36" i="27"/>
  <c r="Q36" i="27"/>
  <c r="P36" i="27"/>
  <c r="O36" i="27"/>
  <c r="N36" i="27"/>
  <c r="M36" i="27"/>
  <c r="L36" i="27"/>
  <c r="K36" i="27"/>
  <c r="J36" i="27"/>
  <c r="I36" i="27"/>
  <c r="H36" i="27"/>
  <c r="G36" i="27"/>
  <c r="F36" i="27"/>
  <c r="E36" i="27"/>
  <c r="D10" i="19" l="1"/>
  <c r="F39" i="24" l="1"/>
  <c r="G39" i="24"/>
  <c r="H39" i="24"/>
  <c r="E39" i="24"/>
  <c r="E12" i="12" l="1"/>
  <c r="F11" i="10" l="1"/>
  <c r="S37" i="27" l="1"/>
  <c r="S38" i="27" s="1"/>
  <c r="B12" i="12"/>
  <c r="F10" i="9" l="1"/>
  <c r="F10" i="27" s="1"/>
  <c r="F9" i="26" s="1"/>
  <c r="D12" i="8"/>
  <c r="F10" i="8"/>
  <c r="D11" i="8"/>
  <c r="E19" i="8"/>
  <c r="F19" i="8"/>
  <c r="G19" i="8"/>
  <c r="H19" i="8"/>
  <c r="F10" i="11"/>
  <c r="F10" i="23" l="1"/>
  <c r="F10" i="24"/>
  <c r="F10" i="25"/>
  <c r="F10" i="12"/>
  <c r="F10" i="13"/>
  <c r="F10" i="14" s="1"/>
  <c r="F10" i="15" s="1"/>
  <c r="F10" i="16" s="1"/>
  <c r="F12" i="10"/>
  <c r="D12" i="10"/>
  <c r="F11" i="17" l="1"/>
  <c r="F10" i="17"/>
  <c r="F10" i="18"/>
  <c r="F10" i="20" s="1"/>
  <c r="F10" i="21" s="1"/>
  <c r="F10" i="22" s="1"/>
  <c r="F10" i="6"/>
  <c r="D11" i="6"/>
  <c r="D12" i="6"/>
  <c r="E24" i="6"/>
  <c r="F24" i="6"/>
  <c r="G24" i="6"/>
  <c r="H24" i="6"/>
  <c r="E25" i="6"/>
  <c r="F25" i="6"/>
  <c r="G25" i="6"/>
  <c r="H25" i="6"/>
  <c r="E26" i="6"/>
  <c r="F26" i="6"/>
  <c r="G26" i="6"/>
  <c r="H26" i="6"/>
  <c r="D11" i="3"/>
  <c r="D12" i="3"/>
  <c r="E22" i="3"/>
  <c r="F22" i="3"/>
  <c r="G22" i="3"/>
  <c r="H22" i="3"/>
  <c r="B12" i="1"/>
  <c r="F10" i="28" l="1"/>
  <c r="F10" i="29"/>
  <c r="I29" i="19"/>
  <c r="H6" i="19" l="1"/>
  <c r="BL218" i="43" l="1"/>
  <c r="BK218" i="43"/>
  <c r="BJ218" i="43"/>
  <c r="BI218" i="43"/>
  <c r="BL217" i="43"/>
  <c r="BK217" i="43"/>
  <c r="BJ217" i="43"/>
  <c r="BI217" i="43"/>
  <c r="BL216" i="43"/>
  <c r="BK216" i="43"/>
  <c r="BJ216" i="43"/>
  <c r="BI216" i="43"/>
  <c r="BL215" i="43"/>
  <c r="BK215" i="43"/>
  <c r="BJ215" i="43"/>
  <c r="BI215" i="43"/>
  <c r="BL214" i="43"/>
  <c r="BK214" i="43"/>
  <c r="BJ214" i="43"/>
  <c r="BI214" i="43"/>
  <c r="BL213" i="43"/>
  <c r="BK213" i="43"/>
  <c r="BJ213" i="43"/>
  <c r="BI213" i="43"/>
  <c r="BL212" i="43"/>
  <c r="BK212" i="43"/>
  <c r="BJ212" i="43"/>
  <c r="BI212" i="43"/>
  <c r="BL211" i="43"/>
  <c r="BK211" i="43"/>
  <c r="BJ211" i="43"/>
  <c r="BI211" i="43"/>
  <c r="BL210" i="43"/>
  <c r="BK210" i="43"/>
  <c r="BJ210" i="43"/>
  <c r="BI210" i="43"/>
  <c r="BL209" i="43"/>
  <c r="BK209" i="43"/>
  <c r="BJ209" i="43"/>
  <c r="BI209" i="43"/>
  <c r="BL208" i="43"/>
  <c r="BK208" i="43"/>
  <c r="BJ208" i="43"/>
  <c r="BI208" i="43"/>
  <c r="BL207" i="43"/>
  <c r="BK207" i="43"/>
  <c r="BJ207" i="43"/>
  <c r="BI207" i="43"/>
  <c r="BL206" i="43"/>
  <c r="BK206" i="43"/>
  <c r="BJ206" i="43"/>
  <c r="BI206" i="43"/>
  <c r="BL205" i="43"/>
  <c r="BK205" i="43"/>
  <c r="BJ205" i="43"/>
  <c r="BI205" i="43"/>
  <c r="BL204" i="43"/>
  <c r="BK204" i="43"/>
  <c r="BJ204" i="43"/>
  <c r="BI204" i="43"/>
  <c r="BL203" i="43"/>
  <c r="BK203" i="43"/>
  <c r="BJ203" i="43"/>
  <c r="BI203" i="43"/>
  <c r="BL202" i="43"/>
  <c r="BK202" i="43"/>
  <c r="BJ202" i="43"/>
  <c r="BI202" i="43"/>
  <c r="BL201" i="43"/>
  <c r="BK201" i="43"/>
  <c r="BJ201" i="43"/>
  <c r="BI201" i="43"/>
  <c r="BL200" i="43"/>
  <c r="BK200" i="43"/>
  <c r="BJ200" i="43"/>
  <c r="BI200" i="43"/>
  <c r="BL199" i="43"/>
  <c r="BK199" i="43"/>
  <c r="BJ199" i="43"/>
  <c r="BI199" i="43"/>
  <c r="BL198" i="43"/>
  <c r="BK198" i="43"/>
  <c r="BJ198" i="43"/>
  <c r="BI198" i="43"/>
  <c r="BL197" i="43"/>
  <c r="BK197" i="43"/>
  <c r="BJ197" i="43"/>
  <c r="BI197" i="43"/>
  <c r="BL196" i="43"/>
  <c r="BK196" i="43"/>
  <c r="BJ196" i="43"/>
  <c r="BI196" i="43"/>
  <c r="BL195" i="43"/>
  <c r="BK195" i="43"/>
  <c r="BJ195" i="43"/>
  <c r="BI195" i="43"/>
  <c r="BL194" i="43"/>
  <c r="BK194" i="43"/>
  <c r="BJ194" i="43"/>
  <c r="BI194" i="43"/>
  <c r="BL193" i="43"/>
  <c r="BK193" i="43"/>
  <c r="BJ193" i="43"/>
  <c r="BI193" i="43"/>
  <c r="BL192" i="43"/>
  <c r="BK192" i="43"/>
  <c r="BJ192" i="43"/>
  <c r="BI192" i="43"/>
  <c r="BL191" i="43"/>
  <c r="BK191" i="43"/>
  <c r="BJ191" i="43"/>
  <c r="BI191" i="43"/>
  <c r="BL190" i="43"/>
  <c r="BK190" i="43"/>
  <c r="BJ190" i="43"/>
  <c r="BI190" i="43"/>
  <c r="BL189" i="43"/>
  <c r="BK189" i="43"/>
  <c r="BJ189" i="43"/>
  <c r="BI189" i="43"/>
  <c r="BL188" i="43"/>
  <c r="BK188" i="43"/>
  <c r="BJ188" i="43"/>
  <c r="BI188" i="43"/>
  <c r="BL187" i="43"/>
  <c r="BK187" i="43"/>
  <c r="BJ187" i="43"/>
  <c r="BI187" i="43"/>
  <c r="BL186" i="43"/>
  <c r="BK186" i="43"/>
  <c r="BJ186" i="43"/>
  <c r="BI186" i="43"/>
  <c r="BL185" i="43"/>
  <c r="BK185" i="43"/>
  <c r="BJ185" i="43"/>
  <c r="BI185" i="43"/>
  <c r="BL184" i="43"/>
  <c r="BK184" i="43"/>
  <c r="BJ184" i="43"/>
  <c r="BI184" i="43"/>
  <c r="BL183" i="43"/>
  <c r="BK183" i="43"/>
  <c r="BJ183" i="43"/>
  <c r="BI183" i="43"/>
  <c r="BL182" i="43"/>
  <c r="BK182" i="43"/>
  <c r="BJ182" i="43"/>
  <c r="BI182" i="43"/>
  <c r="BL181" i="43"/>
  <c r="BK181" i="43"/>
  <c r="BJ181" i="43"/>
  <c r="BI181" i="43"/>
  <c r="BL180" i="43"/>
  <c r="BK180" i="43"/>
  <c r="BJ180" i="43"/>
  <c r="BI180" i="43"/>
  <c r="BL179" i="43"/>
  <c r="BK179" i="43"/>
  <c r="BJ179" i="43"/>
  <c r="BI179" i="43"/>
  <c r="BL178" i="43"/>
  <c r="BK178" i="43"/>
  <c r="BJ178" i="43"/>
  <c r="BI178" i="43"/>
  <c r="BL177" i="43"/>
  <c r="BK177" i="43"/>
  <c r="BJ177" i="43"/>
  <c r="BI177" i="43"/>
  <c r="BL176" i="43"/>
  <c r="BK176" i="43"/>
  <c r="BJ176" i="43"/>
  <c r="BI176" i="43"/>
  <c r="BL175" i="43"/>
  <c r="BK175" i="43"/>
  <c r="BJ175" i="43"/>
  <c r="BI175" i="43"/>
  <c r="BL174" i="43"/>
  <c r="BK174" i="43"/>
  <c r="BJ174" i="43"/>
  <c r="BI174" i="43"/>
  <c r="BL173" i="43"/>
  <c r="BK173" i="43"/>
  <c r="BJ173" i="43"/>
  <c r="BI173" i="43"/>
  <c r="BL172" i="43"/>
  <c r="BK172" i="43"/>
  <c r="BJ172" i="43"/>
  <c r="BI172" i="43"/>
  <c r="BL171" i="43"/>
  <c r="BK171" i="43"/>
  <c r="BJ171" i="43"/>
  <c r="BI171" i="43"/>
  <c r="BL170" i="43"/>
  <c r="BK170" i="43"/>
  <c r="BJ170" i="43"/>
  <c r="BI170" i="43"/>
  <c r="BL169" i="43"/>
  <c r="BK169" i="43"/>
  <c r="BJ169" i="43"/>
  <c r="BI169" i="43"/>
  <c r="BL168" i="43"/>
  <c r="BK168" i="43"/>
  <c r="BJ168" i="43"/>
  <c r="BI168" i="43"/>
  <c r="BL167" i="43"/>
  <c r="BK167" i="43"/>
  <c r="BJ167" i="43"/>
  <c r="BI167" i="43"/>
  <c r="BL166" i="43"/>
  <c r="BK166" i="43"/>
  <c r="BJ166" i="43"/>
  <c r="BI166" i="43"/>
  <c r="BL165" i="43"/>
  <c r="BK165" i="43"/>
  <c r="BJ165" i="43"/>
  <c r="BI165" i="43"/>
  <c r="BL164" i="43"/>
  <c r="BK164" i="43"/>
  <c r="BJ164" i="43"/>
  <c r="BI164" i="43"/>
  <c r="BL163" i="43"/>
  <c r="BK163" i="43"/>
  <c r="BJ163" i="43"/>
  <c r="BI163" i="43"/>
  <c r="BL162" i="43"/>
  <c r="BK162" i="43"/>
  <c r="BJ162" i="43"/>
  <c r="BI162" i="43"/>
  <c r="BL161" i="43"/>
  <c r="BK161" i="43"/>
  <c r="BJ161" i="43"/>
  <c r="BI161" i="43"/>
  <c r="BL160" i="43"/>
  <c r="BK160" i="43"/>
  <c r="BJ160" i="43"/>
  <c r="BI160" i="43"/>
  <c r="BL159" i="43"/>
  <c r="BK159" i="43"/>
  <c r="BJ159" i="43"/>
  <c r="BI159" i="43"/>
  <c r="BL158" i="43"/>
  <c r="BK158" i="43"/>
  <c r="BJ158" i="43"/>
  <c r="BI158" i="43"/>
  <c r="BL157" i="43"/>
  <c r="BK157" i="43"/>
  <c r="BJ157" i="43"/>
  <c r="BI157" i="43"/>
  <c r="BL156" i="43"/>
  <c r="BK156" i="43"/>
  <c r="BJ156" i="43"/>
  <c r="BI156" i="43"/>
  <c r="BL155" i="43"/>
  <c r="BK155" i="43"/>
  <c r="BJ155" i="43"/>
  <c r="BI155" i="43"/>
  <c r="BL154" i="43"/>
  <c r="BK154" i="43"/>
  <c r="BJ154" i="43"/>
  <c r="BI154" i="43"/>
  <c r="BL153" i="43"/>
  <c r="BK153" i="43"/>
  <c r="BJ153" i="43"/>
  <c r="BI153" i="43"/>
  <c r="BL152" i="43"/>
  <c r="BK152" i="43"/>
  <c r="BJ152" i="43"/>
  <c r="BI152" i="43"/>
  <c r="BL151" i="43"/>
  <c r="BK151" i="43"/>
  <c r="BJ151" i="43"/>
  <c r="BI151" i="43"/>
  <c r="BL150" i="43"/>
  <c r="BK150" i="43"/>
  <c r="BJ150" i="43"/>
  <c r="BI150" i="43"/>
  <c r="BL149" i="43"/>
  <c r="BK149" i="43"/>
  <c r="BJ149" i="43"/>
  <c r="BI149" i="43"/>
  <c r="BL148" i="43"/>
  <c r="BK148" i="43"/>
  <c r="BJ148" i="43"/>
  <c r="BI148" i="43"/>
  <c r="BL147" i="43"/>
  <c r="BK147" i="43"/>
  <c r="BJ147" i="43"/>
  <c r="BI147" i="43"/>
  <c r="BL146" i="43"/>
  <c r="BK146" i="43"/>
  <c r="BJ146" i="43"/>
  <c r="BI146" i="43"/>
  <c r="BL145" i="43"/>
  <c r="BK145" i="43"/>
  <c r="BJ145" i="43"/>
  <c r="BI145" i="43"/>
  <c r="BL144" i="43"/>
  <c r="BK144" i="43"/>
  <c r="BJ144" i="43"/>
  <c r="BI144" i="43"/>
  <c r="BL143" i="43"/>
  <c r="BK143" i="43"/>
  <c r="BJ143" i="43"/>
  <c r="BI143" i="43"/>
  <c r="BL142" i="43"/>
  <c r="BK142" i="43"/>
  <c r="BJ142" i="43"/>
  <c r="BI142" i="43"/>
  <c r="BL141" i="43"/>
  <c r="BK141" i="43"/>
  <c r="BJ141" i="43"/>
  <c r="BI141" i="43"/>
  <c r="BL140" i="43"/>
  <c r="BK140" i="43"/>
  <c r="BJ140" i="43"/>
  <c r="BI140" i="43"/>
  <c r="BL139" i="43"/>
  <c r="BK139" i="43"/>
  <c r="BJ139" i="43"/>
  <c r="BI139" i="43"/>
  <c r="BL138" i="43"/>
  <c r="BK138" i="43"/>
  <c r="BJ138" i="43"/>
  <c r="BI138" i="43"/>
  <c r="BL137" i="43"/>
  <c r="BK137" i="43"/>
  <c r="BJ137" i="43"/>
  <c r="BI137" i="43"/>
  <c r="BL136" i="43"/>
  <c r="BK136" i="43"/>
  <c r="BJ136" i="43"/>
  <c r="BI136" i="43"/>
  <c r="BL135" i="43"/>
  <c r="BK135" i="43"/>
  <c r="BJ135" i="43"/>
  <c r="BI135" i="43"/>
  <c r="BL134" i="43"/>
  <c r="BK134" i="43"/>
  <c r="BJ134" i="43"/>
  <c r="BI134" i="43"/>
  <c r="BL133" i="43"/>
  <c r="BK133" i="43"/>
  <c r="BJ133" i="43"/>
  <c r="BI133" i="43"/>
  <c r="BL132" i="43"/>
  <c r="BK132" i="43"/>
  <c r="BJ132" i="43"/>
  <c r="BI132" i="43"/>
  <c r="BL131" i="43"/>
  <c r="BK131" i="43"/>
  <c r="BJ131" i="43"/>
  <c r="BI131" i="43"/>
  <c r="BL130" i="43"/>
  <c r="BK130" i="43"/>
  <c r="BJ130" i="43"/>
  <c r="BI130" i="43"/>
  <c r="BL129" i="43"/>
  <c r="BK129" i="43"/>
  <c r="BJ129" i="43"/>
  <c r="BI129" i="43"/>
  <c r="BL128" i="43"/>
  <c r="BK128" i="43"/>
  <c r="BJ128" i="43"/>
  <c r="BI128" i="43"/>
  <c r="BL127" i="43"/>
  <c r="BK127" i="43"/>
  <c r="BJ127" i="43"/>
  <c r="BI127" i="43"/>
  <c r="BL126" i="43"/>
  <c r="BK126" i="43"/>
  <c r="BJ126" i="43"/>
  <c r="BI126" i="43"/>
  <c r="BL125" i="43"/>
  <c r="BK125" i="43"/>
  <c r="BJ125" i="43"/>
  <c r="BI125" i="43"/>
  <c r="BL124" i="43"/>
  <c r="BK124" i="43"/>
  <c r="BJ124" i="43"/>
  <c r="BI124" i="43"/>
  <c r="BL123" i="43"/>
  <c r="BK123" i="43"/>
  <c r="BJ123" i="43"/>
  <c r="BI123" i="43"/>
  <c r="BL122" i="43"/>
  <c r="BK122" i="43"/>
  <c r="BJ122" i="43"/>
  <c r="BI122" i="43"/>
  <c r="BL121" i="43"/>
  <c r="BK121" i="43"/>
  <c r="BJ121" i="43"/>
  <c r="BI121" i="43"/>
  <c r="BL120" i="43"/>
  <c r="BK120" i="43"/>
  <c r="BJ120" i="43"/>
  <c r="BI120" i="43"/>
  <c r="BL119" i="43"/>
  <c r="BK119" i="43"/>
  <c r="BJ119" i="43"/>
  <c r="BI119" i="43"/>
  <c r="BL118" i="43"/>
  <c r="BK118" i="43"/>
  <c r="BJ118" i="43"/>
  <c r="BI118" i="43"/>
  <c r="BL117" i="43"/>
  <c r="BK117" i="43"/>
  <c r="BJ117" i="43"/>
  <c r="BI117" i="43"/>
  <c r="BL116" i="43"/>
  <c r="BK116" i="43"/>
  <c r="BJ116" i="43"/>
  <c r="BI116" i="43"/>
  <c r="BL115" i="43"/>
  <c r="BK115" i="43"/>
  <c r="BJ115" i="43"/>
  <c r="BI115" i="43"/>
  <c r="BL114" i="43"/>
  <c r="BK114" i="43"/>
  <c r="BJ114" i="43"/>
  <c r="BI114" i="43"/>
  <c r="BL113" i="43"/>
  <c r="BK113" i="43"/>
  <c r="BJ113" i="43"/>
  <c r="BI113" i="43"/>
  <c r="BL112" i="43"/>
  <c r="BK112" i="43"/>
  <c r="BJ112" i="43"/>
  <c r="BI112" i="43"/>
  <c r="BL111" i="43"/>
  <c r="BK111" i="43"/>
  <c r="BJ111" i="43"/>
  <c r="BI111" i="43"/>
  <c r="BL110" i="43"/>
  <c r="BK110" i="43"/>
  <c r="BJ110" i="43"/>
  <c r="BI110" i="43"/>
  <c r="BL109" i="43"/>
  <c r="BK109" i="43"/>
  <c r="BJ109" i="43"/>
  <c r="BI109" i="43"/>
  <c r="BL108" i="43"/>
  <c r="BK108" i="43"/>
  <c r="BJ108" i="43"/>
  <c r="BI108" i="43"/>
  <c r="BL107" i="43"/>
  <c r="BK107" i="43"/>
  <c r="BJ107" i="43"/>
  <c r="BI107" i="43"/>
  <c r="BL106" i="43"/>
  <c r="BK106" i="43"/>
  <c r="BJ106" i="43"/>
  <c r="BI106" i="43"/>
  <c r="BL105" i="43"/>
  <c r="BK105" i="43"/>
  <c r="BJ105" i="43"/>
  <c r="BI105" i="43"/>
  <c r="BL104" i="43"/>
  <c r="BK104" i="43"/>
  <c r="BJ104" i="43"/>
  <c r="BI104" i="43"/>
  <c r="BL103" i="43"/>
  <c r="BK103" i="43"/>
  <c r="BJ103" i="43"/>
  <c r="BI103" i="43"/>
  <c r="BL102" i="43"/>
  <c r="BK102" i="43"/>
  <c r="BJ102" i="43"/>
  <c r="BI102" i="43"/>
  <c r="BL101" i="43"/>
  <c r="BK101" i="43"/>
  <c r="BJ101" i="43"/>
  <c r="BI101" i="43"/>
  <c r="BL100" i="43"/>
  <c r="BK100" i="43"/>
  <c r="BJ100" i="43"/>
  <c r="BI100" i="43"/>
  <c r="BL99" i="43"/>
  <c r="BK99" i="43"/>
  <c r="BJ99" i="43"/>
  <c r="BI99" i="43"/>
  <c r="BL98" i="43"/>
  <c r="BK98" i="43"/>
  <c r="BJ98" i="43"/>
  <c r="BI98" i="43"/>
  <c r="BL97" i="43"/>
  <c r="BK97" i="43"/>
  <c r="BJ97" i="43"/>
  <c r="BI97" i="43"/>
  <c r="BL96" i="43"/>
  <c r="BK96" i="43"/>
  <c r="BJ96" i="43"/>
  <c r="BI96" i="43"/>
  <c r="BL95" i="43"/>
  <c r="BK95" i="43"/>
  <c r="BJ95" i="43"/>
  <c r="BI95" i="43"/>
  <c r="BL94" i="43"/>
  <c r="BK94" i="43"/>
  <c r="BJ94" i="43"/>
  <c r="BI94" i="43"/>
  <c r="BL93" i="43"/>
  <c r="BK93" i="43"/>
  <c r="BJ93" i="43"/>
  <c r="BI93" i="43"/>
  <c r="BL92" i="43"/>
  <c r="BK92" i="43"/>
  <c r="BJ92" i="43"/>
  <c r="BI92" i="43"/>
  <c r="BL91" i="43"/>
  <c r="BK91" i="43"/>
  <c r="BJ91" i="43"/>
  <c r="BI91" i="43"/>
  <c r="BL90" i="43"/>
  <c r="BK90" i="43"/>
  <c r="BJ90" i="43"/>
  <c r="BI90" i="43"/>
  <c r="BL89" i="43"/>
  <c r="BK89" i="43"/>
  <c r="BJ89" i="43"/>
  <c r="BI89" i="43"/>
  <c r="BL88" i="43"/>
  <c r="BK88" i="43"/>
  <c r="BJ88" i="43"/>
  <c r="BI88" i="43"/>
  <c r="BL87" i="43"/>
  <c r="BK87" i="43"/>
  <c r="BJ87" i="43"/>
  <c r="BI87" i="43"/>
  <c r="BL86" i="43"/>
  <c r="BK86" i="43"/>
  <c r="BJ86" i="43"/>
  <c r="BI86" i="43"/>
  <c r="BL85" i="43"/>
  <c r="BK85" i="43"/>
  <c r="BJ85" i="43"/>
  <c r="BI85" i="43"/>
  <c r="BL84" i="43"/>
  <c r="BK84" i="43"/>
  <c r="BJ84" i="43"/>
  <c r="BI84" i="43"/>
  <c r="BL83" i="43"/>
  <c r="BK83" i="43"/>
  <c r="BJ83" i="43"/>
  <c r="BI83" i="43"/>
  <c r="BL82" i="43"/>
  <c r="BK82" i="43"/>
  <c r="BJ82" i="43"/>
  <c r="BI82" i="43"/>
  <c r="BL81" i="43"/>
  <c r="BK81" i="43"/>
  <c r="BJ81" i="43"/>
  <c r="BI81" i="43"/>
  <c r="BL80" i="43"/>
  <c r="BK80" i="43"/>
  <c r="BJ80" i="43"/>
  <c r="BI80" i="43"/>
  <c r="BL79" i="43"/>
  <c r="BK79" i="43"/>
  <c r="BJ79" i="43"/>
  <c r="BI79" i="43"/>
  <c r="BL78" i="43"/>
  <c r="BK78" i="43"/>
  <c r="BJ78" i="43"/>
  <c r="BI78" i="43"/>
  <c r="BL77" i="43"/>
  <c r="BK77" i="43"/>
  <c r="BJ77" i="43"/>
  <c r="BI77" i="43"/>
  <c r="BL76" i="43"/>
  <c r="BK76" i="43"/>
  <c r="BJ76" i="43"/>
  <c r="BI76" i="43"/>
  <c r="BL75" i="43"/>
  <c r="BK75" i="43"/>
  <c r="BJ75" i="43"/>
  <c r="BI75" i="43"/>
  <c r="BL74" i="43"/>
  <c r="BK74" i="43"/>
  <c r="BJ74" i="43"/>
  <c r="BI74" i="43"/>
  <c r="BL73" i="43"/>
  <c r="BK73" i="43"/>
  <c r="BJ73" i="43"/>
  <c r="BI73" i="43"/>
  <c r="BL72" i="43"/>
  <c r="BK72" i="43"/>
  <c r="BJ72" i="43"/>
  <c r="BI72" i="43"/>
  <c r="BL71" i="43"/>
  <c r="BK71" i="43"/>
  <c r="BJ71" i="43"/>
  <c r="BI71" i="43"/>
  <c r="BL70" i="43"/>
  <c r="BK70" i="43"/>
  <c r="BJ70" i="43"/>
  <c r="BI70" i="43"/>
  <c r="BL69" i="43"/>
  <c r="BK69" i="43"/>
  <c r="BJ69" i="43"/>
  <c r="BI69" i="43"/>
  <c r="BL68" i="43"/>
  <c r="BK68" i="43"/>
  <c r="BJ68" i="43"/>
  <c r="BI68" i="43"/>
  <c r="BL67" i="43"/>
  <c r="BK67" i="43"/>
  <c r="BJ67" i="43"/>
  <c r="BI67" i="43"/>
  <c r="BL66" i="43"/>
  <c r="BK66" i="43"/>
  <c r="BJ66" i="43"/>
  <c r="BI66" i="43"/>
  <c r="BL65" i="43"/>
  <c r="BK65" i="43"/>
  <c r="BJ65" i="43"/>
  <c r="BI65" i="43"/>
  <c r="BL64" i="43"/>
  <c r="BK64" i="43"/>
  <c r="BJ64" i="43"/>
  <c r="BI64" i="43"/>
  <c r="BL63" i="43"/>
  <c r="BK63" i="43"/>
  <c r="BJ63" i="43"/>
  <c r="BI63" i="43"/>
  <c r="BL62" i="43"/>
  <c r="BK62" i="43"/>
  <c r="BJ62" i="43"/>
  <c r="BI62" i="43"/>
  <c r="BL61" i="43"/>
  <c r="BK61" i="43"/>
  <c r="BJ61" i="43"/>
  <c r="BI61" i="43"/>
  <c r="BL60" i="43"/>
  <c r="BK60" i="43"/>
  <c r="BJ60" i="43"/>
  <c r="BI60" i="43"/>
  <c r="BL59" i="43"/>
  <c r="BK59" i="43"/>
  <c r="BJ59" i="43"/>
  <c r="BI59" i="43"/>
  <c r="BL58" i="43"/>
  <c r="BK58" i="43"/>
  <c r="BJ58" i="43"/>
  <c r="BI58" i="43"/>
  <c r="BL57" i="43"/>
  <c r="BK57" i="43"/>
  <c r="BJ57" i="43"/>
  <c r="BI57" i="43"/>
  <c r="BL56" i="43"/>
  <c r="BK56" i="43"/>
  <c r="BJ56" i="43"/>
  <c r="BI56" i="43"/>
  <c r="BL55" i="43"/>
  <c r="BK55" i="43"/>
  <c r="BJ55" i="43"/>
  <c r="BI55" i="43"/>
  <c r="BL54" i="43"/>
  <c r="BK54" i="43"/>
  <c r="BJ54" i="43"/>
  <c r="BI54" i="43"/>
  <c r="BL53" i="43"/>
  <c r="BK53" i="43"/>
  <c r="BJ53" i="43"/>
  <c r="BI53" i="43"/>
  <c r="BL52" i="43"/>
  <c r="BK52" i="43"/>
  <c r="BJ52" i="43"/>
  <c r="BI52" i="43"/>
  <c r="BL51" i="43"/>
  <c r="BK51" i="43"/>
  <c r="BJ51" i="43"/>
  <c r="BI51" i="43"/>
  <c r="BL50" i="43"/>
  <c r="BK50" i="43"/>
  <c r="BJ50" i="43"/>
  <c r="BI50" i="43"/>
  <c r="BL49" i="43"/>
  <c r="BK49" i="43"/>
  <c r="BJ49" i="43"/>
  <c r="BI49" i="43"/>
  <c r="BL48" i="43"/>
  <c r="BK48" i="43"/>
  <c r="BJ48" i="43"/>
  <c r="BI48" i="43"/>
  <c r="BL47" i="43"/>
  <c r="BK47" i="43"/>
  <c r="BJ47" i="43"/>
  <c r="BI47" i="43"/>
  <c r="BL46" i="43"/>
  <c r="BK46" i="43"/>
  <c r="BJ46" i="43"/>
  <c r="BI46" i="43"/>
  <c r="BL45" i="43"/>
  <c r="BK45" i="43"/>
  <c r="BJ45" i="43"/>
  <c r="BI45" i="43"/>
  <c r="BL44" i="43"/>
  <c r="BK44" i="43"/>
  <c r="BJ44" i="43"/>
  <c r="BI44" i="43"/>
  <c r="BL43" i="43"/>
  <c r="BK43" i="43"/>
  <c r="BJ43" i="43"/>
  <c r="BI43" i="43"/>
  <c r="BL42" i="43"/>
  <c r="BK42" i="43"/>
  <c r="BJ42" i="43"/>
  <c r="BI42" i="43"/>
  <c r="BL41" i="43"/>
  <c r="BK41" i="43"/>
  <c r="BJ41" i="43"/>
  <c r="BI41" i="43"/>
  <c r="BL40" i="43"/>
  <c r="BK40" i="43"/>
  <c r="BJ40" i="43"/>
  <c r="BI40" i="43"/>
  <c r="BL39" i="43"/>
  <c r="BK39" i="43"/>
  <c r="BJ39" i="43"/>
  <c r="BI39" i="43"/>
  <c r="BL38" i="43"/>
  <c r="BK38" i="43"/>
  <c r="BJ38" i="43"/>
  <c r="BI38" i="43"/>
  <c r="BL37" i="43"/>
  <c r="BK37" i="43"/>
  <c r="BJ37" i="43"/>
  <c r="BI37" i="43"/>
  <c r="BL36" i="43"/>
  <c r="BK36" i="43"/>
  <c r="BJ36" i="43"/>
  <c r="BI36" i="43"/>
  <c r="BL35" i="43"/>
  <c r="BK35" i="43"/>
  <c r="BJ35" i="43"/>
  <c r="BI35" i="43"/>
  <c r="BL34" i="43"/>
  <c r="BK34" i="43"/>
  <c r="BJ34" i="43"/>
  <c r="BI34" i="43"/>
  <c r="BL33" i="43"/>
  <c r="BK33" i="43"/>
  <c r="BJ33" i="43"/>
  <c r="BI33" i="43"/>
  <c r="BL32" i="43"/>
  <c r="BK32" i="43"/>
  <c r="BJ32" i="43"/>
  <c r="BI32" i="43"/>
  <c r="BL31" i="43"/>
  <c r="BK31" i="43"/>
  <c r="BJ31" i="43"/>
  <c r="BI31" i="43"/>
  <c r="BL30" i="43"/>
  <c r="BK30" i="43"/>
  <c r="BJ30" i="43"/>
  <c r="BI30" i="43"/>
  <c r="BL29" i="43"/>
  <c r="BK29" i="43"/>
  <c r="BJ29" i="43"/>
  <c r="BI29" i="43"/>
  <c r="BL28" i="43"/>
  <c r="BK28" i="43"/>
  <c r="BJ28" i="43"/>
  <c r="BI28" i="43"/>
  <c r="BL27" i="43"/>
  <c r="BK27" i="43"/>
  <c r="BJ27" i="43"/>
  <c r="BI27" i="43"/>
  <c r="BL26" i="43"/>
  <c r="BK26" i="43"/>
  <c r="BJ26" i="43"/>
  <c r="BI26" i="43"/>
  <c r="BL25" i="43"/>
  <c r="BK25" i="43"/>
  <c r="BJ25" i="43"/>
  <c r="BI25" i="43"/>
  <c r="BL24" i="43"/>
  <c r="BK24" i="43"/>
  <c r="BJ24" i="43"/>
  <c r="BI24" i="43"/>
  <c r="BL23" i="43"/>
  <c r="BK23" i="43"/>
  <c r="BJ23" i="43"/>
  <c r="BI23" i="43"/>
  <c r="BL22" i="43"/>
  <c r="BK22" i="43"/>
  <c r="BJ22" i="43"/>
  <c r="BI22" i="43"/>
  <c r="BL21" i="43"/>
  <c r="BK21" i="43"/>
  <c r="BJ21" i="43"/>
  <c r="BI21" i="43"/>
  <c r="BL20" i="43"/>
  <c r="BK20" i="43"/>
  <c r="BJ20" i="43"/>
  <c r="BI20" i="43"/>
  <c r="BL19" i="43"/>
  <c r="BK19" i="43"/>
  <c r="BJ19" i="43"/>
  <c r="BI19" i="43"/>
  <c r="BL18" i="43"/>
  <c r="BK18" i="43"/>
  <c r="BJ18" i="43"/>
  <c r="BI18" i="43"/>
  <c r="BL17" i="43"/>
  <c r="BK17" i="43"/>
  <c r="BJ17" i="43"/>
  <c r="BI17" i="43"/>
  <c r="BL16" i="43"/>
  <c r="BK16" i="43"/>
  <c r="BJ16" i="43"/>
  <c r="BI16" i="43"/>
  <c r="BL15" i="43"/>
  <c r="BK15" i="43"/>
  <c r="BJ15" i="43"/>
  <c r="BI15" i="43"/>
  <c r="BL14" i="43"/>
  <c r="BK14" i="43"/>
  <c r="BJ14" i="43"/>
  <c r="BI14" i="43"/>
  <c r="BL13" i="43"/>
  <c r="BK13" i="43"/>
  <c r="BJ13" i="43"/>
  <c r="BI13" i="43"/>
  <c r="BL12" i="43"/>
  <c r="BK12" i="43"/>
  <c r="BJ12" i="43"/>
  <c r="BI12" i="43"/>
  <c r="BL11" i="43"/>
  <c r="BK11" i="43"/>
  <c r="BJ11" i="43"/>
  <c r="BI11" i="43"/>
  <c r="BL10" i="43"/>
  <c r="BK10" i="43"/>
  <c r="BJ10" i="43"/>
  <c r="BI10" i="43"/>
  <c r="BL9" i="43"/>
  <c r="BK9" i="43"/>
  <c r="BJ9" i="43"/>
  <c r="BI9" i="43"/>
  <c r="BL8" i="43"/>
  <c r="BK8" i="43"/>
  <c r="BJ8" i="43"/>
  <c r="BI8" i="43"/>
  <c r="BL7" i="43"/>
  <c r="BK7" i="43"/>
  <c r="BJ7" i="43"/>
  <c r="BI7" i="43"/>
  <c r="BL6" i="43"/>
  <c r="BK6" i="43"/>
  <c r="BJ6" i="43"/>
  <c r="BI6" i="43"/>
  <c r="BL5" i="43"/>
  <c r="BK5" i="43"/>
  <c r="BJ5" i="43"/>
  <c r="BI5" i="43"/>
  <c r="BL4" i="43"/>
  <c r="BK4" i="43"/>
  <c r="BJ4" i="43"/>
  <c r="BI4" i="43"/>
  <c r="BJ3" i="43"/>
  <c r="BK3" i="43"/>
  <c r="BL3" i="43"/>
  <c r="BI3" i="43"/>
  <c r="AL6" i="43" l="1"/>
  <c r="AM6" i="43"/>
  <c r="AN6" i="43"/>
  <c r="AO6" i="43"/>
  <c r="AP6" i="43"/>
  <c r="AQ6" i="43"/>
  <c r="AR6" i="43"/>
  <c r="AS6" i="43"/>
  <c r="AT6" i="43"/>
  <c r="AU6" i="43"/>
  <c r="AV6" i="43"/>
  <c r="AW6" i="43"/>
  <c r="AX6" i="43"/>
  <c r="AY6" i="43"/>
  <c r="AZ6" i="43"/>
  <c r="BA6" i="43"/>
  <c r="BB6" i="43"/>
  <c r="BC6" i="43"/>
  <c r="BD6" i="43"/>
  <c r="BE6" i="43"/>
  <c r="BF6" i="43"/>
  <c r="BG6" i="43"/>
  <c r="BH6" i="43"/>
  <c r="AL14" i="43"/>
  <c r="AM14" i="43"/>
  <c r="AN14" i="43"/>
  <c r="AO14" i="43"/>
  <c r="AP14" i="43"/>
  <c r="AQ14" i="43"/>
  <c r="AR14" i="43"/>
  <c r="AS14" i="43"/>
  <c r="AT14" i="43"/>
  <c r="AU14" i="43"/>
  <c r="AV14" i="43"/>
  <c r="AW14" i="43"/>
  <c r="AX14" i="43"/>
  <c r="AY14" i="43"/>
  <c r="AZ14" i="43"/>
  <c r="BA14" i="43"/>
  <c r="BB14" i="43"/>
  <c r="BC14" i="43"/>
  <c r="BD14" i="43"/>
  <c r="BE14" i="43"/>
  <c r="BF14" i="43"/>
  <c r="BG14" i="43"/>
  <c r="BH14" i="43"/>
  <c r="AL18" i="43"/>
  <c r="AM18" i="43"/>
  <c r="AN18" i="43"/>
  <c r="AO18" i="43"/>
  <c r="AP18" i="43"/>
  <c r="AQ18" i="43"/>
  <c r="AR18" i="43"/>
  <c r="AS18" i="43"/>
  <c r="AT18" i="43"/>
  <c r="AU18" i="43"/>
  <c r="AV18" i="43"/>
  <c r="AW18" i="43"/>
  <c r="AX18" i="43"/>
  <c r="AY18" i="43"/>
  <c r="AZ18" i="43"/>
  <c r="BA18" i="43"/>
  <c r="BB18" i="43"/>
  <c r="BC18" i="43"/>
  <c r="BD18" i="43"/>
  <c r="BE18" i="43"/>
  <c r="BF18" i="43"/>
  <c r="BG18" i="43"/>
  <c r="BH18" i="43"/>
  <c r="AL26" i="43"/>
  <c r="AM26" i="43"/>
  <c r="AN26" i="43"/>
  <c r="AO26" i="43"/>
  <c r="AP26" i="43"/>
  <c r="AQ26" i="43"/>
  <c r="AR26" i="43"/>
  <c r="AS26" i="43"/>
  <c r="AT26" i="43"/>
  <c r="AU26" i="43"/>
  <c r="AV26" i="43"/>
  <c r="AW26" i="43"/>
  <c r="AX26" i="43"/>
  <c r="AY26" i="43"/>
  <c r="AZ26" i="43"/>
  <c r="BA26" i="43"/>
  <c r="BB26" i="43"/>
  <c r="BC26" i="43"/>
  <c r="BD26" i="43"/>
  <c r="BE26" i="43"/>
  <c r="BF26" i="43"/>
  <c r="BG26" i="43"/>
  <c r="BH26" i="43"/>
  <c r="AL32" i="43"/>
  <c r="AM32" i="43"/>
  <c r="AN32" i="43"/>
  <c r="AO32" i="43"/>
  <c r="AP32" i="43"/>
  <c r="AQ32" i="43"/>
  <c r="AR32" i="43"/>
  <c r="AS32" i="43"/>
  <c r="AT32" i="43"/>
  <c r="AU32" i="43"/>
  <c r="AV32" i="43"/>
  <c r="AW32" i="43"/>
  <c r="AX32" i="43"/>
  <c r="AY32" i="43"/>
  <c r="AZ32" i="43"/>
  <c r="BA32" i="43"/>
  <c r="BB32" i="43"/>
  <c r="BC32" i="43"/>
  <c r="BD32" i="43"/>
  <c r="BE32" i="43"/>
  <c r="BF32" i="43"/>
  <c r="BG32" i="43"/>
  <c r="BH32" i="43"/>
  <c r="AL38" i="43"/>
  <c r="AM38" i="43"/>
  <c r="AN38" i="43"/>
  <c r="AO38" i="43"/>
  <c r="AP38" i="43"/>
  <c r="AQ38" i="43"/>
  <c r="AR38" i="43"/>
  <c r="AS38" i="43"/>
  <c r="AT38" i="43"/>
  <c r="AU38" i="43"/>
  <c r="AV38" i="43"/>
  <c r="AW38" i="43"/>
  <c r="AX38" i="43"/>
  <c r="AY38" i="43"/>
  <c r="AZ38" i="43"/>
  <c r="BA38" i="43"/>
  <c r="BB38" i="43"/>
  <c r="BC38" i="43"/>
  <c r="BD38" i="43"/>
  <c r="BE38" i="43"/>
  <c r="BF38" i="43"/>
  <c r="BG38" i="43"/>
  <c r="BH38" i="43"/>
  <c r="AX48" i="43"/>
  <c r="AL49" i="43"/>
  <c r="AM49" i="43"/>
  <c r="AM48" i="43" s="1"/>
  <c r="AN49" i="43"/>
  <c r="AO49" i="43"/>
  <c r="AP49" i="43"/>
  <c r="AP48" i="43" s="1"/>
  <c r="AQ49" i="43"/>
  <c r="AQ48" i="43" s="1"/>
  <c r="AR49" i="43"/>
  <c r="AS49" i="43"/>
  <c r="AT49" i="43"/>
  <c r="AT48" i="43" s="1"/>
  <c r="AU49" i="43"/>
  <c r="AU48" i="43" s="1"/>
  <c r="AV49" i="43"/>
  <c r="AW49" i="43"/>
  <c r="AX49" i="43"/>
  <c r="AY49" i="43"/>
  <c r="AY48" i="43" s="1"/>
  <c r="AZ49" i="43"/>
  <c r="BA49" i="43"/>
  <c r="BB49" i="43"/>
  <c r="BB48" i="43" s="1"/>
  <c r="BC49" i="43"/>
  <c r="BC48" i="43" s="1"/>
  <c r="BD49" i="43"/>
  <c r="BE49" i="43"/>
  <c r="BF49" i="43"/>
  <c r="BF48" i="43" s="1"/>
  <c r="BG49" i="43"/>
  <c r="BG48" i="43" s="1"/>
  <c r="BH49" i="43"/>
  <c r="AL53" i="43"/>
  <c r="AL48" i="43" s="1"/>
  <c r="AM53" i="43"/>
  <c r="AN53" i="43"/>
  <c r="AO53" i="43"/>
  <c r="AP53" i="43"/>
  <c r="AQ53" i="43"/>
  <c r="AR53" i="43"/>
  <c r="AS53" i="43"/>
  <c r="AT53" i="43"/>
  <c r="AU53" i="43"/>
  <c r="AV53" i="43"/>
  <c r="AW53" i="43"/>
  <c r="AX53" i="43"/>
  <c r="AY53" i="43"/>
  <c r="AZ53" i="43"/>
  <c r="BA53" i="43"/>
  <c r="BB53" i="43"/>
  <c r="BC53" i="43"/>
  <c r="BD53" i="43"/>
  <c r="BE53" i="43"/>
  <c r="BF53" i="43"/>
  <c r="BG53" i="43"/>
  <c r="BH53" i="43"/>
  <c r="AL57" i="43"/>
  <c r="AM57" i="43"/>
  <c r="AN57" i="43"/>
  <c r="AO57" i="43"/>
  <c r="AP57" i="43"/>
  <c r="AQ57" i="43"/>
  <c r="AR57" i="43"/>
  <c r="AS57" i="43"/>
  <c r="AT57" i="43"/>
  <c r="AU57" i="43"/>
  <c r="AV57" i="43"/>
  <c r="AW57" i="43"/>
  <c r="AX57" i="43"/>
  <c r="AY57" i="43"/>
  <c r="AZ57" i="43"/>
  <c r="BA57" i="43"/>
  <c r="BB57" i="43"/>
  <c r="BC57" i="43"/>
  <c r="BD57" i="43"/>
  <c r="BE57" i="43"/>
  <c r="BF57" i="43"/>
  <c r="BG57" i="43"/>
  <c r="BH57" i="43"/>
  <c r="AL64" i="43"/>
  <c r="AM64" i="43"/>
  <c r="AN64" i="43"/>
  <c r="AO64" i="43"/>
  <c r="AP64" i="43"/>
  <c r="AQ64" i="43"/>
  <c r="AR64" i="43"/>
  <c r="AS64" i="43"/>
  <c r="AT64" i="43"/>
  <c r="AU64" i="43"/>
  <c r="AV64" i="43"/>
  <c r="AW64" i="43"/>
  <c r="AX64" i="43"/>
  <c r="AY64" i="43"/>
  <c r="AZ64" i="43"/>
  <c r="BA64" i="43"/>
  <c r="BA63" i="43" s="1"/>
  <c r="BB64" i="43"/>
  <c r="BC64" i="43"/>
  <c r="BD64" i="43"/>
  <c r="BE64" i="43"/>
  <c r="BF64" i="43"/>
  <c r="BG64" i="43"/>
  <c r="BH64" i="43"/>
  <c r="AL69" i="43"/>
  <c r="AM69" i="43"/>
  <c r="AN69" i="43"/>
  <c r="AO69" i="43"/>
  <c r="AP69" i="43"/>
  <c r="AQ69" i="43"/>
  <c r="AR69" i="43"/>
  <c r="AS69" i="43"/>
  <c r="AT69" i="43"/>
  <c r="AU69" i="43"/>
  <c r="AV69" i="43"/>
  <c r="AW69" i="43"/>
  <c r="AX69" i="43"/>
  <c r="AY69" i="43"/>
  <c r="AZ69" i="43"/>
  <c r="BA69" i="43"/>
  <c r="BB69" i="43"/>
  <c r="BC69" i="43"/>
  <c r="BD69" i="43"/>
  <c r="BE69" i="43"/>
  <c r="BF69" i="43"/>
  <c r="BG69" i="43"/>
  <c r="BH69" i="43"/>
  <c r="AL74" i="43"/>
  <c r="AM74" i="43"/>
  <c r="AN74" i="43"/>
  <c r="AO74" i="43"/>
  <c r="AP74" i="43"/>
  <c r="AQ74" i="43"/>
  <c r="AR74" i="43"/>
  <c r="AS74" i="43"/>
  <c r="AT74" i="43"/>
  <c r="AU74" i="43"/>
  <c r="AV74" i="43"/>
  <c r="AW74" i="43"/>
  <c r="AX74" i="43"/>
  <c r="AY74" i="43"/>
  <c r="AZ74" i="43"/>
  <c r="BA74" i="43"/>
  <c r="BB74" i="43"/>
  <c r="BC74" i="43"/>
  <c r="BD74" i="43"/>
  <c r="BE74" i="43"/>
  <c r="BF74" i="43"/>
  <c r="BG74" i="43"/>
  <c r="BH74" i="43"/>
  <c r="AL83" i="43"/>
  <c r="AM83" i="43"/>
  <c r="AN83" i="43"/>
  <c r="AO83" i="43"/>
  <c r="AP83" i="43"/>
  <c r="AQ83" i="43"/>
  <c r="AR83" i="43"/>
  <c r="AS83" i="43"/>
  <c r="AT83" i="43"/>
  <c r="AU83" i="43"/>
  <c r="AV83" i="43"/>
  <c r="AW83" i="43"/>
  <c r="AX83" i="43"/>
  <c r="AY83" i="43"/>
  <c r="AZ83" i="43"/>
  <c r="BA83" i="43"/>
  <c r="BB83" i="43"/>
  <c r="BC83" i="43"/>
  <c r="BD83" i="43"/>
  <c r="BE83" i="43"/>
  <c r="BF83" i="43"/>
  <c r="BG83" i="43"/>
  <c r="BH83" i="43"/>
  <c r="AL88" i="43"/>
  <c r="AM88" i="43"/>
  <c r="AN88" i="43"/>
  <c r="AO88" i="43"/>
  <c r="AP88" i="43"/>
  <c r="AQ88" i="43"/>
  <c r="AR88" i="43"/>
  <c r="AS88" i="43"/>
  <c r="AT88" i="43"/>
  <c r="AU88" i="43"/>
  <c r="AV88" i="43"/>
  <c r="AW88" i="43"/>
  <c r="AX88" i="43"/>
  <c r="AY88" i="43"/>
  <c r="AZ88" i="43"/>
  <c r="BA88" i="43"/>
  <c r="BB88" i="43"/>
  <c r="BC88" i="43"/>
  <c r="BD88" i="43"/>
  <c r="BE88" i="43"/>
  <c r="BF88" i="43"/>
  <c r="BG88" i="43"/>
  <c r="BH88" i="43"/>
  <c r="AL99" i="43"/>
  <c r="AM99" i="43"/>
  <c r="AN99" i="43"/>
  <c r="AO99" i="43"/>
  <c r="AP99" i="43"/>
  <c r="AQ99" i="43"/>
  <c r="AR99" i="43"/>
  <c r="AS99" i="43"/>
  <c r="AT99" i="43"/>
  <c r="AU99" i="43"/>
  <c r="AV99" i="43"/>
  <c r="AW99" i="43"/>
  <c r="AX99" i="43"/>
  <c r="AY99" i="43"/>
  <c r="AZ99" i="43"/>
  <c r="BA99" i="43"/>
  <c r="BB99" i="43"/>
  <c r="BC99" i="43"/>
  <c r="BD99" i="43"/>
  <c r="BE99" i="43"/>
  <c r="BF99" i="43"/>
  <c r="BG99" i="43"/>
  <c r="BH99" i="43"/>
  <c r="AN103" i="43"/>
  <c r="AY103" i="43"/>
  <c r="AZ103" i="43"/>
  <c r="BG103" i="43"/>
  <c r="AL104" i="43"/>
  <c r="AL103" i="43" s="1"/>
  <c r="AM104" i="43"/>
  <c r="AM103" i="43" s="1"/>
  <c r="AN104" i="43"/>
  <c r="AO104" i="43"/>
  <c r="AO103" i="43" s="1"/>
  <c r="AP104" i="43"/>
  <c r="AP103" i="43" s="1"/>
  <c r="AQ104" i="43"/>
  <c r="AQ103" i="43" s="1"/>
  <c r="AR104" i="43"/>
  <c r="AR103" i="43" s="1"/>
  <c r="AS104" i="43"/>
  <c r="AS103" i="43" s="1"/>
  <c r="AT104" i="43"/>
  <c r="AT103" i="43" s="1"/>
  <c r="AU104" i="43"/>
  <c r="AU103" i="43" s="1"/>
  <c r="AV104" i="43"/>
  <c r="AV103" i="43" s="1"/>
  <c r="AW104" i="43"/>
  <c r="AW103" i="43" s="1"/>
  <c r="AX104" i="43"/>
  <c r="AX103" i="43" s="1"/>
  <c r="AY104" i="43"/>
  <c r="AZ104" i="43"/>
  <c r="BA104" i="43"/>
  <c r="BA103" i="43" s="1"/>
  <c r="BB104" i="43"/>
  <c r="BB103" i="43" s="1"/>
  <c r="BC104" i="43"/>
  <c r="BC103" i="43" s="1"/>
  <c r="BD104" i="43"/>
  <c r="BD103" i="43" s="1"/>
  <c r="BE104" i="43"/>
  <c r="BE103" i="43" s="1"/>
  <c r="BF104" i="43"/>
  <c r="BF103" i="43" s="1"/>
  <c r="BG104" i="43"/>
  <c r="BH104" i="43"/>
  <c r="BH103" i="43" s="1"/>
  <c r="AL122" i="43"/>
  <c r="AM122" i="43"/>
  <c r="AN122" i="43"/>
  <c r="AO122" i="43"/>
  <c r="AP122" i="43"/>
  <c r="AQ122" i="43"/>
  <c r="AR122" i="43"/>
  <c r="AS122" i="43"/>
  <c r="AT122" i="43"/>
  <c r="AU122" i="43"/>
  <c r="AV122" i="43"/>
  <c r="AW122" i="43"/>
  <c r="AX122" i="43"/>
  <c r="AY122" i="43"/>
  <c r="AZ122" i="43"/>
  <c r="BA122" i="43"/>
  <c r="BB122" i="43"/>
  <c r="BC122" i="43"/>
  <c r="BD122" i="43"/>
  <c r="BE122" i="43"/>
  <c r="BF122" i="43"/>
  <c r="BG122" i="43"/>
  <c r="BH122" i="43"/>
  <c r="AL132" i="43"/>
  <c r="AM132" i="43"/>
  <c r="AN132" i="43"/>
  <c r="AO132" i="43"/>
  <c r="AP132" i="43"/>
  <c r="AQ132" i="43"/>
  <c r="AR132" i="43"/>
  <c r="AS132" i="43"/>
  <c r="AT132" i="43"/>
  <c r="AU132" i="43"/>
  <c r="AV132" i="43"/>
  <c r="AW132" i="43"/>
  <c r="AX132" i="43"/>
  <c r="AY132" i="43"/>
  <c r="AZ132" i="43"/>
  <c r="BA132" i="43"/>
  <c r="BB132" i="43"/>
  <c r="BC132" i="43"/>
  <c r="BD132" i="43"/>
  <c r="BE132" i="43"/>
  <c r="BF132" i="43"/>
  <c r="BG132" i="43"/>
  <c r="BH132" i="43"/>
  <c r="AL137" i="43"/>
  <c r="AM137" i="43"/>
  <c r="AN137" i="43"/>
  <c r="AO137" i="43"/>
  <c r="AP137" i="43"/>
  <c r="AQ137" i="43"/>
  <c r="AR137" i="43"/>
  <c r="AS137" i="43"/>
  <c r="AT137" i="43"/>
  <c r="AU137" i="43"/>
  <c r="AV137" i="43"/>
  <c r="AW137" i="43"/>
  <c r="AX137" i="43"/>
  <c r="AY137" i="43"/>
  <c r="AZ137" i="43"/>
  <c r="BA137" i="43"/>
  <c r="BB137" i="43"/>
  <c r="BC137" i="43"/>
  <c r="BD137" i="43"/>
  <c r="BE137" i="43"/>
  <c r="BF137" i="43"/>
  <c r="BG137" i="43"/>
  <c r="BH137" i="43"/>
  <c r="AL143" i="43"/>
  <c r="AM143" i="43"/>
  <c r="AN143" i="43"/>
  <c r="AO143" i="43"/>
  <c r="AP143" i="43"/>
  <c r="AQ143" i="43"/>
  <c r="AR143" i="43"/>
  <c r="AS143" i="43"/>
  <c r="AT143" i="43"/>
  <c r="AU143" i="43"/>
  <c r="AV143" i="43"/>
  <c r="AW143" i="43"/>
  <c r="AX143" i="43"/>
  <c r="AY143" i="43"/>
  <c r="AZ143" i="43"/>
  <c r="BA143" i="43"/>
  <c r="BB143" i="43"/>
  <c r="BC143" i="43"/>
  <c r="BD143" i="43"/>
  <c r="BE143" i="43"/>
  <c r="BF143" i="43"/>
  <c r="BG143" i="43"/>
  <c r="BH143" i="43"/>
  <c r="AL150" i="43"/>
  <c r="AM150" i="43"/>
  <c r="AN150" i="43"/>
  <c r="AO150" i="43"/>
  <c r="AP150" i="43"/>
  <c r="AQ150" i="43"/>
  <c r="AR150" i="43"/>
  <c r="AS150" i="43"/>
  <c r="AT150" i="43"/>
  <c r="AU150" i="43"/>
  <c r="AV150" i="43"/>
  <c r="AW150" i="43"/>
  <c r="AX150" i="43"/>
  <c r="AY150" i="43"/>
  <c r="AZ150" i="43"/>
  <c r="BA150" i="43"/>
  <c r="BB150" i="43"/>
  <c r="BC150" i="43"/>
  <c r="BD150" i="43"/>
  <c r="BE150" i="43"/>
  <c r="BF150" i="43"/>
  <c r="BG150" i="43"/>
  <c r="BH150" i="43"/>
  <c r="AL156" i="43"/>
  <c r="AM156" i="43"/>
  <c r="AN156" i="43"/>
  <c r="AO156" i="43"/>
  <c r="AP156" i="43"/>
  <c r="AQ156" i="43"/>
  <c r="AR156" i="43"/>
  <c r="AS156" i="43"/>
  <c r="AT156" i="43"/>
  <c r="AU156" i="43"/>
  <c r="AV156" i="43"/>
  <c r="AW156" i="43"/>
  <c r="AX156" i="43"/>
  <c r="AY156" i="43"/>
  <c r="AZ156" i="43"/>
  <c r="BA156" i="43"/>
  <c r="BB156" i="43"/>
  <c r="BC156" i="43"/>
  <c r="BD156" i="43"/>
  <c r="BE156" i="43"/>
  <c r="BF156" i="43"/>
  <c r="BG156" i="43"/>
  <c r="BH156" i="43"/>
  <c r="AL170" i="43"/>
  <c r="AM170" i="43"/>
  <c r="AN170" i="43"/>
  <c r="AO170" i="43"/>
  <c r="AP170" i="43"/>
  <c r="AQ170" i="43"/>
  <c r="AR170" i="43"/>
  <c r="AS170" i="43"/>
  <c r="AT170" i="43"/>
  <c r="AU170" i="43"/>
  <c r="AV170" i="43"/>
  <c r="AW170" i="43"/>
  <c r="AX170" i="43"/>
  <c r="AY170" i="43"/>
  <c r="AZ170" i="43"/>
  <c r="BA170" i="43"/>
  <c r="BB170" i="43"/>
  <c r="BC170" i="43"/>
  <c r="BD170" i="43"/>
  <c r="BE170" i="43"/>
  <c r="BF170" i="43"/>
  <c r="BG170" i="43"/>
  <c r="BH170" i="43"/>
  <c r="AL181" i="43"/>
  <c r="AM181" i="43"/>
  <c r="AN181" i="43"/>
  <c r="AO181" i="43"/>
  <c r="AP181" i="43"/>
  <c r="AQ181" i="43"/>
  <c r="AR181" i="43"/>
  <c r="AS181" i="43"/>
  <c r="AT181" i="43"/>
  <c r="AU181" i="43"/>
  <c r="AV181" i="43"/>
  <c r="AW181" i="43"/>
  <c r="AX181" i="43"/>
  <c r="AY181" i="43"/>
  <c r="AZ181" i="43"/>
  <c r="BA181" i="43"/>
  <c r="BB181" i="43"/>
  <c r="BC181" i="43"/>
  <c r="BD181" i="43"/>
  <c r="BE181" i="43"/>
  <c r="BF181" i="43"/>
  <c r="BG181" i="43"/>
  <c r="BH181" i="43"/>
  <c r="AL189" i="43"/>
  <c r="AM189" i="43"/>
  <c r="AN189" i="43"/>
  <c r="AO189" i="43"/>
  <c r="AP189" i="43"/>
  <c r="AQ189" i="43"/>
  <c r="AR189" i="43"/>
  <c r="AS189" i="43"/>
  <c r="AT189" i="43"/>
  <c r="AU189" i="43"/>
  <c r="AV189" i="43"/>
  <c r="AW189" i="43"/>
  <c r="AX189" i="43"/>
  <c r="AY189" i="43"/>
  <c r="AZ189" i="43"/>
  <c r="BA189" i="43"/>
  <c r="BB189" i="43"/>
  <c r="BC189" i="43"/>
  <c r="BD189" i="43"/>
  <c r="BE189" i="43"/>
  <c r="BF189" i="43"/>
  <c r="BG189" i="43"/>
  <c r="BH189" i="43"/>
  <c r="AL197" i="43"/>
  <c r="AM197" i="43"/>
  <c r="AN197" i="43"/>
  <c r="AO197" i="43"/>
  <c r="AP197" i="43"/>
  <c r="AQ197" i="43"/>
  <c r="AR197" i="43"/>
  <c r="AS197" i="43"/>
  <c r="AT197" i="43"/>
  <c r="AU197" i="43"/>
  <c r="AV197" i="43"/>
  <c r="AW197" i="43"/>
  <c r="AX197" i="43"/>
  <c r="AY197" i="43"/>
  <c r="AZ197" i="43"/>
  <c r="BA197" i="43"/>
  <c r="BB197" i="43"/>
  <c r="BC197" i="43"/>
  <c r="BD197" i="43"/>
  <c r="BE197" i="43"/>
  <c r="BF197" i="43"/>
  <c r="BG197" i="43"/>
  <c r="BH197" i="43"/>
  <c r="AL201" i="43"/>
  <c r="AM201" i="43"/>
  <c r="AN201" i="43"/>
  <c r="AO201" i="43"/>
  <c r="AP201" i="43"/>
  <c r="AQ201" i="43"/>
  <c r="AR201" i="43"/>
  <c r="AS201" i="43"/>
  <c r="AT201" i="43"/>
  <c r="AU201" i="43"/>
  <c r="AV201" i="43"/>
  <c r="AW201" i="43"/>
  <c r="AX201" i="43"/>
  <c r="AY201" i="43"/>
  <c r="AZ201" i="43"/>
  <c r="BA201" i="43"/>
  <c r="BB201" i="43"/>
  <c r="BC201" i="43"/>
  <c r="BD201" i="43"/>
  <c r="BE201" i="43"/>
  <c r="BF201" i="43"/>
  <c r="BG201" i="43"/>
  <c r="BH201" i="43"/>
  <c r="AL207" i="43"/>
  <c r="AM207" i="43"/>
  <c r="AM206" i="43" s="1"/>
  <c r="AN207" i="43"/>
  <c r="AO207" i="43"/>
  <c r="AP207" i="43"/>
  <c r="AQ207" i="43"/>
  <c r="AQ206" i="43" s="1"/>
  <c r="AR207" i="43"/>
  <c r="AS207" i="43"/>
  <c r="AT207" i="43"/>
  <c r="AU207" i="43"/>
  <c r="AU206" i="43" s="1"/>
  <c r="AV207" i="43"/>
  <c r="AW207" i="43"/>
  <c r="AX207" i="43"/>
  <c r="AY207" i="43"/>
  <c r="AY206" i="43" s="1"/>
  <c r="AZ207" i="43"/>
  <c r="BA207" i="43"/>
  <c r="BB207" i="43"/>
  <c r="BC207" i="43"/>
  <c r="BC206" i="43" s="1"/>
  <c r="BD207" i="43"/>
  <c r="BE207" i="43"/>
  <c r="BF207" i="43"/>
  <c r="BG207" i="43"/>
  <c r="BG206" i="43" s="1"/>
  <c r="BH207" i="43"/>
  <c r="AL214" i="43"/>
  <c r="AL206" i="43" s="1"/>
  <c r="AM214" i="43"/>
  <c r="AN214" i="43"/>
  <c r="AO214" i="43"/>
  <c r="AP214" i="43"/>
  <c r="AP206" i="43" s="1"/>
  <c r="AQ214" i="43"/>
  <c r="AR214" i="43"/>
  <c r="AS214" i="43"/>
  <c r="AT214" i="43"/>
  <c r="AT206" i="43" s="1"/>
  <c r="AU214" i="43"/>
  <c r="AV214" i="43"/>
  <c r="AW214" i="43"/>
  <c r="AX214" i="43"/>
  <c r="AX206" i="43" s="1"/>
  <c r="AY214" i="43"/>
  <c r="AZ214" i="43"/>
  <c r="AZ206" i="43" s="1"/>
  <c r="BA214" i="43"/>
  <c r="BB214" i="43"/>
  <c r="BB206" i="43" s="1"/>
  <c r="BC214" i="43"/>
  <c r="BD214" i="43"/>
  <c r="BE214" i="43"/>
  <c r="BF214" i="43"/>
  <c r="BF206" i="43" s="1"/>
  <c r="BG214" i="43"/>
  <c r="BH214" i="43"/>
  <c r="J6" i="43"/>
  <c r="K6" i="43"/>
  <c r="L6" i="43"/>
  <c r="M6" i="43"/>
  <c r="N6" i="43"/>
  <c r="O6" i="43"/>
  <c r="P6" i="43"/>
  <c r="Q6" i="43"/>
  <c r="Q5" i="43" s="1"/>
  <c r="R6" i="43"/>
  <c r="S6" i="43"/>
  <c r="T6" i="43"/>
  <c r="U6" i="43"/>
  <c r="V6" i="43"/>
  <c r="W6" i="43"/>
  <c r="X6" i="43"/>
  <c r="Y6" i="43"/>
  <c r="Y5" i="43" s="1"/>
  <c r="Z6" i="43"/>
  <c r="AA6" i="43"/>
  <c r="AB6" i="43"/>
  <c r="AC6" i="43"/>
  <c r="AD6" i="43"/>
  <c r="AE6" i="43"/>
  <c r="AF6" i="43"/>
  <c r="AF5" i="43" s="1"/>
  <c r="AG6" i="43"/>
  <c r="AG5" i="43" s="1"/>
  <c r="AH6" i="43"/>
  <c r="AI6" i="43"/>
  <c r="AJ6" i="43"/>
  <c r="AK6" i="43"/>
  <c r="J14" i="43"/>
  <c r="K14" i="43"/>
  <c r="L14" i="43"/>
  <c r="M14" i="43"/>
  <c r="N14" i="43"/>
  <c r="O14" i="43"/>
  <c r="P14" i="43"/>
  <c r="Q14" i="43"/>
  <c r="R14" i="43"/>
  <c r="S14" i="43"/>
  <c r="T14" i="43"/>
  <c r="U14" i="43"/>
  <c r="V14" i="43"/>
  <c r="W14" i="43"/>
  <c r="X14" i="43"/>
  <c r="Y14" i="43"/>
  <c r="Z14" i="43"/>
  <c r="AA14" i="43"/>
  <c r="AB14" i="43"/>
  <c r="AC14" i="43"/>
  <c r="AD14" i="43"/>
  <c r="AE14" i="43"/>
  <c r="AF14" i="43"/>
  <c r="AG14" i="43"/>
  <c r="AH14" i="43"/>
  <c r="AI14" i="43"/>
  <c r="AJ14" i="43"/>
  <c r="AK14" i="43"/>
  <c r="J18" i="43"/>
  <c r="K18" i="43"/>
  <c r="L18" i="43"/>
  <c r="M18" i="43"/>
  <c r="N18" i="43"/>
  <c r="O18" i="43"/>
  <c r="P18" i="43"/>
  <c r="Q18" i="43"/>
  <c r="R18" i="43"/>
  <c r="S18" i="43"/>
  <c r="T18" i="43"/>
  <c r="U18" i="43"/>
  <c r="V18" i="43"/>
  <c r="W18" i="43"/>
  <c r="X18" i="43"/>
  <c r="Y18" i="43"/>
  <c r="Z18" i="43"/>
  <c r="AA18" i="43"/>
  <c r="AB18" i="43"/>
  <c r="AC18" i="43"/>
  <c r="AD18" i="43"/>
  <c r="AE18" i="43"/>
  <c r="AF18" i="43"/>
  <c r="AG18" i="43"/>
  <c r="AH18" i="43"/>
  <c r="AI18" i="43"/>
  <c r="AJ18" i="43"/>
  <c r="AK18" i="43"/>
  <c r="J26" i="43"/>
  <c r="K26" i="43"/>
  <c r="L26" i="43"/>
  <c r="M26" i="43"/>
  <c r="N26" i="43"/>
  <c r="O26" i="43"/>
  <c r="P26" i="43"/>
  <c r="Q26" i="43"/>
  <c r="R26" i="43"/>
  <c r="S26" i="43"/>
  <c r="T26" i="43"/>
  <c r="U26" i="43"/>
  <c r="V26" i="43"/>
  <c r="W26" i="43"/>
  <c r="X26" i="43"/>
  <c r="Y26" i="43"/>
  <c r="Z26" i="43"/>
  <c r="AA26" i="43"/>
  <c r="AB26" i="43"/>
  <c r="AC26" i="43"/>
  <c r="AD26" i="43"/>
  <c r="AE26" i="43"/>
  <c r="AF26" i="43"/>
  <c r="AG26" i="43"/>
  <c r="AH26" i="43"/>
  <c r="AI26" i="43"/>
  <c r="AJ26" i="43"/>
  <c r="AK26" i="43"/>
  <c r="J32" i="43"/>
  <c r="K32" i="43"/>
  <c r="L32" i="43"/>
  <c r="M32" i="43"/>
  <c r="N32" i="43"/>
  <c r="O32" i="43"/>
  <c r="P32" i="43"/>
  <c r="Q32" i="43"/>
  <c r="R32" i="43"/>
  <c r="S32" i="43"/>
  <c r="T32" i="43"/>
  <c r="U32" i="43"/>
  <c r="V32" i="43"/>
  <c r="W32" i="43"/>
  <c r="X32" i="43"/>
  <c r="Y32" i="43"/>
  <c r="Z32" i="43"/>
  <c r="AA32" i="43"/>
  <c r="AB32" i="43"/>
  <c r="AC32" i="43"/>
  <c r="AD32" i="43"/>
  <c r="AE32" i="43"/>
  <c r="AF32" i="43"/>
  <c r="AG32" i="43"/>
  <c r="AH32" i="43"/>
  <c r="AI32" i="43"/>
  <c r="AJ32" i="43"/>
  <c r="AK32" i="43"/>
  <c r="J38" i="43"/>
  <c r="K38" i="43"/>
  <c r="L38" i="43"/>
  <c r="M38" i="43"/>
  <c r="N38" i="43"/>
  <c r="O38" i="43"/>
  <c r="P38" i="43"/>
  <c r="Q38" i="43"/>
  <c r="R38" i="43"/>
  <c r="S38" i="43"/>
  <c r="T38" i="43"/>
  <c r="U38" i="43"/>
  <c r="V38" i="43"/>
  <c r="W38" i="43"/>
  <c r="X38" i="43"/>
  <c r="Y38" i="43"/>
  <c r="Z38" i="43"/>
  <c r="AA38" i="43"/>
  <c r="AB38" i="43"/>
  <c r="AC38" i="43"/>
  <c r="AD38" i="43"/>
  <c r="AE38" i="43"/>
  <c r="AF38" i="43"/>
  <c r="AG38" i="43"/>
  <c r="AH38" i="43"/>
  <c r="AI38" i="43"/>
  <c r="AJ38" i="43"/>
  <c r="AK38" i="43"/>
  <c r="J49" i="43"/>
  <c r="K49" i="43"/>
  <c r="L49" i="43"/>
  <c r="M49" i="43"/>
  <c r="M48" i="43" s="1"/>
  <c r="N49" i="43"/>
  <c r="O49" i="43"/>
  <c r="P49" i="43"/>
  <c r="Q49" i="43"/>
  <c r="R49" i="43"/>
  <c r="S49" i="43"/>
  <c r="T49" i="43"/>
  <c r="U49" i="43"/>
  <c r="U48" i="43" s="1"/>
  <c r="V49" i="43"/>
  <c r="W49" i="43"/>
  <c r="X49" i="43"/>
  <c r="Y49" i="43"/>
  <c r="Z49" i="43"/>
  <c r="AA49" i="43"/>
  <c r="AB49" i="43"/>
  <c r="AC49" i="43"/>
  <c r="AC48" i="43" s="1"/>
  <c r="AD49" i="43"/>
  <c r="AE49" i="43"/>
  <c r="AF49" i="43"/>
  <c r="AG49" i="43"/>
  <c r="AH49" i="43"/>
  <c r="AI49" i="43"/>
  <c r="AJ49" i="43"/>
  <c r="AK49" i="43"/>
  <c r="J53" i="43"/>
  <c r="K53" i="43"/>
  <c r="L53" i="43"/>
  <c r="M53" i="43"/>
  <c r="N53" i="43"/>
  <c r="O53" i="43"/>
  <c r="P53" i="43"/>
  <c r="Q53" i="43"/>
  <c r="R53" i="43"/>
  <c r="S53" i="43"/>
  <c r="T53" i="43"/>
  <c r="U53" i="43"/>
  <c r="V53" i="43"/>
  <c r="W53" i="43"/>
  <c r="X53" i="43"/>
  <c r="Y53" i="43"/>
  <c r="Z53" i="43"/>
  <c r="AA53" i="43"/>
  <c r="AB53" i="43"/>
  <c r="AC53" i="43"/>
  <c r="AD53" i="43"/>
  <c r="AE53" i="43"/>
  <c r="AF53" i="43"/>
  <c r="AG53" i="43"/>
  <c r="AH53" i="43"/>
  <c r="AI53" i="43"/>
  <c r="AJ53" i="43"/>
  <c r="AK53" i="43"/>
  <c r="J57" i="43"/>
  <c r="K57" i="43"/>
  <c r="L57" i="43"/>
  <c r="M57" i="43"/>
  <c r="N57" i="43"/>
  <c r="O57" i="43"/>
  <c r="P57" i="43"/>
  <c r="Q57" i="43"/>
  <c r="R57" i="43"/>
  <c r="S57" i="43"/>
  <c r="T57" i="43"/>
  <c r="U57" i="43"/>
  <c r="V57" i="43"/>
  <c r="W57" i="43"/>
  <c r="X57" i="43"/>
  <c r="Y57" i="43"/>
  <c r="Z57" i="43"/>
  <c r="AA57" i="43"/>
  <c r="AB57" i="43"/>
  <c r="AC57" i="43"/>
  <c r="AD57" i="43"/>
  <c r="AE57" i="43"/>
  <c r="AF57" i="43"/>
  <c r="AG57" i="43"/>
  <c r="AH57" i="43"/>
  <c r="AI57" i="43"/>
  <c r="AJ57" i="43"/>
  <c r="AK57" i="43"/>
  <c r="L63" i="43"/>
  <c r="X63" i="43"/>
  <c r="X62" i="43" s="1"/>
  <c r="AB63" i="43"/>
  <c r="J64" i="43"/>
  <c r="K64" i="43"/>
  <c r="L64" i="43"/>
  <c r="M64" i="43"/>
  <c r="M63" i="43" s="1"/>
  <c r="N64" i="43"/>
  <c r="O64" i="43"/>
  <c r="P64" i="43"/>
  <c r="Q64" i="43"/>
  <c r="Q63" i="43" s="1"/>
  <c r="R64" i="43"/>
  <c r="R63" i="43" s="1"/>
  <c r="R62" i="43" s="1"/>
  <c r="S64" i="43"/>
  <c r="T64" i="43"/>
  <c r="U64" i="43"/>
  <c r="V64" i="43"/>
  <c r="W64" i="43"/>
  <c r="X64" i="43"/>
  <c r="Y64" i="43"/>
  <c r="Z64" i="43"/>
  <c r="AA64" i="43"/>
  <c r="AB64" i="43"/>
  <c r="AC64" i="43"/>
  <c r="AC63" i="43" s="1"/>
  <c r="AC62" i="43" s="1"/>
  <c r="AD64" i="43"/>
  <c r="AE64" i="43"/>
  <c r="AF64" i="43"/>
  <c r="AG64" i="43"/>
  <c r="AH64" i="43"/>
  <c r="AI64" i="43"/>
  <c r="AJ64" i="43"/>
  <c r="AK64" i="43"/>
  <c r="J69" i="43"/>
  <c r="K69" i="43"/>
  <c r="L69" i="43"/>
  <c r="M69" i="43"/>
  <c r="N69" i="43"/>
  <c r="O69" i="43"/>
  <c r="P69" i="43"/>
  <c r="Q69" i="43"/>
  <c r="R69" i="43"/>
  <c r="S69" i="43"/>
  <c r="T69" i="43"/>
  <c r="U69" i="43"/>
  <c r="V69" i="43"/>
  <c r="W69" i="43"/>
  <c r="X69" i="43"/>
  <c r="Y69" i="43"/>
  <c r="Z69" i="43"/>
  <c r="AA69" i="43"/>
  <c r="AB69" i="43"/>
  <c r="AC69" i="43"/>
  <c r="AD69" i="43"/>
  <c r="AE69" i="43"/>
  <c r="AF69" i="43"/>
  <c r="AG69" i="43"/>
  <c r="AH69" i="43"/>
  <c r="AI69" i="43"/>
  <c r="AJ69" i="43"/>
  <c r="AK69" i="43"/>
  <c r="J74" i="43"/>
  <c r="K74" i="43"/>
  <c r="L74" i="43"/>
  <c r="M74" i="43"/>
  <c r="N74" i="43"/>
  <c r="O74" i="43"/>
  <c r="P74" i="43"/>
  <c r="Q74" i="43"/>
  <c r="R74" i="43"/>
  <c r="S74" i="43"/>
  <c r="T74" i="43"/>
  <c r="U74" i="43"/>
  <c r="V74" i="43"/>
  <c r="W74" i="43"/>
  <c r="X74" i="43"/>
  <c r="Y74" i="43"/>
  <c r="Z74" i="43"/>
  <c r="AA74" i="43"/>
  <c r="AB74" i="43"/>
  <c r="AC74" i="43"/>
  <c r="AD74" i="43"/>
  <c r="AE74" i="43"/>
  <c r="AF74" i="43"/>
  <c r="AG74" i="43"/>
  <c r="AH74" i="43"/>
  <c r="AI74" i="43"/>
  <c r="AJ74" i="43"/>
  <c r="AK74" i="43"/>
  <c r="J83" i="43"/>
  <c r="K83" i="43"/>
  <c r="L83" i="43"/>
  <c r="M83" i="43"/>
  <c r="N83" i="43"/>
  <c r="O83" i="43"/>
  <c r="P83" i="43"/>
  <c r="Q83" i="43"/>
  <c r="R83" i="43"/>
  <c r="S83" i="43"/>
  <c r="T83" i="43"/>
  <c r="U83" i="43"/>
  <c r="V83" i="43"/>
  <c r="W83" i="43"/>
  <c r="X83" i="43"/>
  <c r="Y83" i="43"/>
  <c r="Z83" i="43"/>
  <c r="AA83" i="43"/>
  <c r="AB83" i="43"/>
  <c r="AC83" i="43"/>
  <c r="AD83" i="43"/>
  <c r="AE83" i="43"/>
  <c r="AF83" i="43"/>
  <c r="AG83" i="43"/>
  <c r="AH83" i="43"/>
  <c r="AI83" i="43"/>
  <c r="AJ83" i="43"/>
  <c r="AK83" i="43"/>
  <c r="J88" i="43"/>
  <c r="K88" i="43"/>
  <c r="L88" i="43"/>
  <c r="M88" i="43"/>
  <c r="N88" i="43"/>
  <c r="O88" i="43"/>
  <c r="P88" i="43"/>
  <c r="Q88" i="43"/>
  <c r="R88" i="43"/>
  <c r="S88" i="43"/>
  <c r="T88" i="43"/>
  <c r="U88" i="43"/>
  <c r="V88" i="43"/>
  <c r="W88" i="43"/>
  <c r="X88" i="43"/>
  <c r="Y88" i="43"/>
  <c r="Z88" i="43"/>
  <c r="AA88" i="43"/>
  <c r="AB88" i="43"/>
  <c r="AC88" i="43"/>
  <c r="AD88" i="43"/>
  <c r="AE88" i="43"/>
  <c r="AF88" i="43"/>
  <c r="AG88" i="43"/>
  <c r="AH88" i="43"/>
  <c r="AI88" i="43"/>
  <c r="AJ88" i="43"/>
  <c r="AK88" i="43"/>
  <c r="J99" i="43"/>
  <c r="K99" i="43"/>
  <c r="L99" i="43"/>
  <c r="M99" i="43"/>
  <c r="N99" i="43"/>
  <c r="O99" i="43"/>
  <c r="P99" i="43"/>
  <c r="Q99" i="43"/>
  <c r="R99" i="43"/>
  <c r="S99" i="43"/>
  <c r="T99" i="43"/>
  <c r="U99" i="43"/>
  <c r="V99" i="43"/>
  <c r="W99" i="43"/>
  <c r="X99" i="43"/>
  <c r="Y99" i="43"/>
  <c r="Z99" i="43"/>
  <c r="AA99" i="43"/>
  <c r="AB99" i="43"/>
  <c r="AC99" i="43"/>
  <c r="AD99" i="43"/>
  <c r="AE99" i="43"/>
  <c r="AF99" i="43"/>
  <c r="AG99" i="43"/>
  <c r="AG63" i="43" s="1"/>
  <c r="AH99" i="43"/>
  <c r="AI99" i="43"/>
  <c r="AJ99" i="43"/>
  <c r="AK99" i="43"/>
  <c r="L103" i="43"/>
  <c r="Z103" i="43"/>
  <c r="J104" i="43"/>
  <c r="K104" i="43"/>
  <c r="L104" i="43"/>
  <c r="M104" i="43"/>
  <c r="M103" i="43" s="1"/>
  <c r="N104" i="43"/>
  <c r="N103" i="43" s="1"/>
  <c r="O104" i="43"/>
  <c r="O103" i="43" s="1"/>
  <c r="P104" i="43"/>
  <c r="P103" i="43" s="1"/>
  <c r="Q104" i="43"/>
  <c r="Q103" i="43" s="1"/>
  <c r="R104" i="43"/>
  <c r="R103" i="43" s="1"/>
  <c r="S104" i="43"/>
  <c r="S103" i="43" s="1"/>
  <c r="T104" i="43"/>
  <c r="T103" i="43" s="1"/>
  <c r="U104" i="43"/>
  <c r="U103" i="43" s="1"/>
  <c r="V104" i="43"/>
  <c r="V103" i="43" s="1"/>
  <c r="W104" i="43"/>
  <c r="W103" i="43" s="1"/>
  <c r="X104" i="43"/>
  <c r="X103" i="43" s="1"/>
  <c r="Y104" i="43"/>
  <c r="Y103" i="43" s="1"/>
  <c r="Z104" i="43"/>
  <c r="AA104" i="43"/>
  <c r="AA103" i="43" s="1"/>
  <c r="AB104" i="43"/>
  <c r="AB103" i="43" s="1"/>
  <c r="AC104" i="43"/>
  <c r="AC103" i="43" s="1"/>
  <c r="AD104" i="43"/>
  <c r="AD103" i="43" s="1"/>
  <c r="AE104" i="43"/>
  <c r="AE103" i="43" s="1"/>
  <c r="AF104" i="43"/>
  <c r="AF103" i="43" s="1"/>
  <c r="AG104" i="43"/>
  <c r="AG103" i="43" s="1"/>
  <c r="AH104" i="43"/>
  <c r="AH103" i="43" s="1"/>
  <c r="AI104" i="43"/>
  <c r="AI103" i="43" s="1"/>
  <c r="AJ104" i="43"/>
  <c r="AJ103" i="43" s="1"/>
  <c r="AK104" i="43"/>
  <c r="AK103" i="43" s="1"/>
  <c r="J122" i="43"/>
  <c r="K122" i="43"/>
  <c r="L122" i="43"/>
  <c r="M122" i="43"/>
  <c r="N122" i="43"/>
  <c r="O122" i="43"/>
  <c r="P122" i="43"/>
  <c r="Q122" i="43"/>
  <c r="R122" i="43"/>
  <c r="S122" i="43"/>
  <c r="T122" i="43"/>
  <c r="U122" i="43"/>
  <c r="V122" i="43"/>
  <c r="W122" i="43"/>
  <c r="X122" i="43"/>
  <c r="Y122" i="43"/>
  <c r="Z122" i="43"/>
  <c r="AA122" i="43"/>
  <c r="AB122" i="43"/>
  <c r="AC122" i="43"/>
  <c r="AD122" i="43"/>
  <c r="AE122" i="43"/>
  <c r="AF122" i="43"/>
  <c r="AG122" i="43"/>
  <c r="AH122" i="43"/>
  <c r="AI122" i="43"/>
  <c r="AJ122" i="43"/>
  <c r="AK122" i="43"/>
  <c r="J132" i="43"/>
  <c r="K132" i="43"/>
  <c r="L132" i="43"/>
  <c r="M132" i="43"/>
  <c r="N132" i="43"/>
  <c r="O132" i="43"/>
  <c r="P132" i="43"/>
  <c r="Q132" i="43"/>
  <c r="R132" i="43"/>
  <c r="S132" i="43"/>
  <c r="T132" i="43"/>
  <c r="U132" i="43"/>
  <c r="V132" i="43"/>
  <c r="W132" i="43"/>
  <c r="X132" i="43"/>
  <c r="Y132" i="43"/>
  <c r="Z132" i="43"/>
  <c r="AA132" i="43"/>
  <c r="AB132" i="43"/>
  <c r="AC132" i="43"/>
  <c r="AD132" i="43"/>
  <c r="AE132" i="43"/>
  <c r="AF132" i="43"/>
  <c r="AG132" i="43"/>
  <c r="AH132" i="43"/>
  <c r="AI132" i="43"/>
  <c r="AJ132" i="43"/>
  <c r="AK132" i="43"/>
  <c r="V136" i="43"/>
  <c r="V135" i="43" s="1"/>
  <c r="AJ136" i="43"/>
  <c r="AJ135" i="43" s="1"/>
  <c r="J137" i="43"/>
  <c r="K137" i="43"/>
  <c r="L137" i="43"/>
  <c r="M137" i="43"/>
  <c r="N137" i="43"/>
  <c r="N136" i="43" s="1"/>
  <c r="N135" i="43" s="1"/>
  <c r="O137" i="43"/>
  <c r="P137" i="43"/>
  <c r="Q137" i="43"/>
  <c r="R137" i="43"/>
  <c r="S137" i="43"/>
  <c r="T137" i="43"/>
  <c r="T136" i="43" s="1"/>
  <c r="T135" i="43" s="1"/>
  <c r="U137" i="43"/>
  <c r="V137" i="43"/>
  <c r="W137" i="43"/>
  <c r="X137" i="43"/>
  <c r="Y137" i="43"/>
  <c r="Z137" i="43"/>
  <c r="AA137" i="43"/>
  <c r="AB137" i="43"/>
  <c r="AC137" i="43"/>
  <c r="AD137" i="43"/>
  <c r="AD136" i="43" s="1"/>
  <c r="AD135" i="43" s="1"/>
  <c r="AE137" i="43"/>
  <c r="AF137" i="43"/>
  <c r="AG137" i="43"/>
  <c r="AH137" i="43"/>
  <c r="AI137" i="43"/>
  <c r="AJ137" i="43"/>
  <c r="AK137" i="43"/>
  <c r="J143" i="43"/>
  <c r="K143" i="43"/>
  <c r="L143" i="43"/>
  <c r="M143" i="43"/>
  <c r="N143" i="43"/>
  <c r="O143" i="43"/>
  <c r="P143" i="43"/>
  <c r="Q143" i="43"/>
  <c r="R143" i="43"/>
  <c r="S143" i="43"/>
  <c r="T143" i="43"/>
  <c r="U143" i="43"/>
  <c r="V143" i="43"/>
  <c r="W143" i="43"/>
  <c r="X143" i="43"/>
  <c r="Y143" i="43"/>
  <c r="Z143" i="43"/>
  <c r="AA143" i="43"/>
  <c r="AB143" i="43"/>
  <c r="AC143" i="43"/>
  <c r="AD143" i="43"/>
  <c r="AE143" i="43"/>
  <c r="AF143" i="43"/>
  <c r="AG143" i="43"/>
  <c r="AH143" i="43"/>
  <c r="AI143" i="43"/>
  <c r="AJ143" i="43"/>
  <c r="AK143" i="43"/>
  <c r="J150" i="43"/>
  <c r="K150" i="43"/>
  <c r="L150" i="43"/>
  <c r="M150" i="43"/>
  <c r="N150" i="43"/>
  <c r="O150" i="43"/>
  <c r="P150" i="43"/>
  <c r="Q150" i="43"/>
  <c r="R150" i="43"/>
  <c r="S150" i="43"/>
  <c r="T150" i="43"/>
  <c r="U150" i="43"/>
  <c r="V150" i="43"/>
  <c r="W150" i="43"/>
  <c r="X150" i="43"/>
  <c r="Y150" i="43"/>
  <c r="Z150" i="43"/>
  <c r="AA150" i="43"/>
  <c r="AB150" i="43"/>
  <c r="AC150" i="43"/>
  <c r="AD150" i="43"/>
  <c r="AE150" i="43"/>
  <c r="AF150" i="43"/>
  <c r="AG150" i="43"/>
  <c r="AH150" i="43"/>
  <c r="AI150" i="43"/>
  <c r="AJ150" i="43"/>
  <c r="AK150" i="43"/>
  <c r="J156" i="43"/>
  <c r="K156" i="43"/>
  <c r="L156" i="43"/>
  <c r="M156" i="43"/>
  <c r="N156" i="43"/>
  <c r="O156" i="43"/>
  <c r="P156" i="43"/>
  <c r="Q156" i="43"/>
  <c r="R156" i="43"/>
  <c r="S156" i="43"/>
  <c r="T156" i="43"/>
  <c r="U156" i="43"/>
  <c r="V156" i="43"/>
  <c r="W156" i="43"/>
  <c r="X156" i="43"/>
  <c r="Y156" i="43"/>
  <c r="Z156" i="43"/>
  <c r="AA156" i="43"/>
  <c r="AB156" i="43"/>
  <c r="AC156" i="43"/>
  <c r="AD156" i="43"/>
  <c r="AE156" i="43"/>
  <c r="AF156" i="43"/>
  <c r="AG156" i="43"/>
  <c r="AH156" i="43"/>
  <c r="AI156" i="43"/>
  <c r="AJ156" i="43"/>
  <c r="AK156" i="43"/>
  <c r="J170" i="43"/>
  <c r="K170" i="43"/>
  <c r="L170" i="43"/>
  <c r="M170" i="43"/>
  <c r="N170" i="43"/>
  <c r="O170" i="43"/>
  <c r="P170" i="43"/>
  <c r="Q170" i="43"/>
  <c r="R170" i="43"/>
  <c r="S170" i="43"/>
  <c r="T170" i="43"/>
  <c r="U170" i="43"/>
  <c r="V170" i="43"/>
  <c r="W170" i="43"/>
  <c r="X170" i="43"/>
  <c r="Y170" i="43"/>
  <c r="Z170" i="43"/>
  <c r="AA170" i="43"/>
  <c r="AB170" i="43"/>
  <c r="AC170" i="43"/>
  <c r="AD170" i="43"/>
  <c r="AE170" i="43"/>
  <c r="AF170" i="43"/>
  <c r="AG170" i="43"/>
  <c r="AH170" i="43"/>
  <c r="AI170" i="43"/>
  <c r="AJ170" i="43"/>
  <c r="AK170" i="43"/>
  <c r="J181" i="43"/>
  <c r="K181" i="43"/>
  <c r="L181" i="43"/>
  <c r="M181" i="43"/>
  <c r="N181" i="43"/>
  <c r="O181" i="43"/>
  <c r="P181" i="43"/>
  <c r="Q181" i="43"/>
  <c r="R181" i="43"/>
  <c r="S181" i="43"/>
  <c r="T181" i="43"/>
  <c r="U181" i="43"/>
  <c r="V181" i="43"/>
  <c r="W181" i="43"/>
  <c r="X181" i="43"/>
  <c r="Y181" i="43"/>
  <c r="Z181" i="43"/>
  <c r="AA181" i="43"/>
  <c r="AB181" i="43"/>
  <c r="AC181" i="43"/>
  <c r="AD181" i="43"/>
  <c r="AE181" i="43"/>
  <c r="AF181" i="43"/>
  <c r="AG181" i="43"/>
  <c r="AH181" i="43"/>
  <c r="AI181" i="43"/>
  <c r="AJ181" i="43"/>
  <c r="AK181" i="43"/>
  <c r="J189" i="43"/>
  <c r="K189" i="43"/>
  <c r="L189" i="43"/>
  <c r="M189" i="43"/>
  <c r="N189" i="43"/>
  <c r="O189" i="43"/>
  <c r="P189" i="43"/>
  <c r="Q189" i="43"/>
  <c r="R189" i="43"/>
  <c r="S189" i="43"/>
  <c r="T189" i="43"/>
  <c r="U189" i="43"/>
  <c r="V189" i="43"/>
  <c r="W189" i="43"/>
  <c r="X189" i="43"/>
  <c r="Y189" i="43"/>
  <c r="Z189" i="43"/>
  <c r="AA189" i="43"/>
  <c r="AB189" i="43"/>
  <c r="AC189" i="43"/>
  <c r="AD189" i="43"/>
  <c r="AE189" i="43"/>
  <c r="AF189" i="43"/>
  <c r="AG189" i="43"/>
  <c r="AH189" i="43"/>
  <c r="AI189" i="43"/>
  <c r="AJ189" i="43"/>
  <c r="AK189" i="43"/>
  <c r="J197" i="43"/>
  <c r="K197" i="43"/>
  <c r="L197" i="43"/>
  <c r="M197" i="43"/>
  <c r="N197" i="43"/>
  <c r="O197" i="43"/>
  <c r="P197" i="43"/>
  <c r="Q197" i="43"/>
  <c r="R197" i="43"/>
  <c r="S197" i="43"/>
  <c r="T197" i="43"/>
  <c r="U197" i="43"/>
  <c r="V197" i="43"/>
  <c r="W197" i="43"/>
  <c r="X197" i="43"/>
  <c r="Y197" i="43"/>
  <c r="Z197" i="43"/>
  <c r="AA197" i="43"/>
  <c r="AB197" i="43"/>
  <c r="AC197" i="43"/>
  <c r="AD197" i="43"/>
  <c r="AE197" i="43"/>
  <c r="AF197" i="43"/>
  <c r="AG197" i="43"/>
  <c r="AH197" i="43"/>
  <c r="AI197" i="43"/>
  <c r="AJ197" i="43"/>
  <c r="AK197" i="43"/>
  <c r="J201" i="43"/>
  <c r="K201" i="43"/>
  <c r="L201" i="43"/>
  <c r="M201" i="43"/>
  <c r="N201" i="43"/>
  <c r="O201" i="43"/>
  <c r="P201" i="43"/>
  <c r="Q201" i="43"/>
  <c r="R201" i="43"/>
  <c r="S201" i="43"/>
  <c r="T201" i="43"/>
  <c r="U201" i="43"/>
  <c r="V201" i="43"/>
  <c r="W201" i="43"/>
  <c r="X201" i="43"/>
  <c r="Y201" i="43"/>
  <c r="Z201" i="43"/>
  <c r="AA201" i="43"/>
  <c r="AB201" i="43"/>
  <c r="AC201" i="43"/>
  <c r="AD201" i="43"/>
  <c r="AE201" i="43"/>
  <c r="AF201" i="43"/>
  <c r="AG201" i="43"/>
  <c r="AH201" i="43"/>
  <c r="AI201" i="43"/>
  <c r="AJ201" i="43"/>
  <c r="AJ155" i="43" s="1"/>
  <c r="AK201" i="43"/>
  <c r="P206" i="43"/>
  <c r="AF206" i="43"/>
  <c r="J207" i="43"/>
  <c r="K207" i="43"/>
  <c r="L207" i="43"/>
  <c r="M207" i="43"/>
  <c r="N207" i="43"/>
  <c r="O207" i="43"/>
  <c r="P207" i="43"/>
  <c r="Q207" i="43"/>
  <c r="R207" i="43"/>
  <c r="S207" i="43"/>
  <c r="T207" i="43"/>
  <c r="U207" i="43"/>
  <c r="V207" i="43"/>
  <c r="W207" i="43"/>
  <c r="X207" i="43"/>
  <c r="X206" i="43" s="1"/>
  <c r="Y207" i="43"/>
  <c r="Z207" i="43"/>
  <c r="AA207" i="43"/>
  <c r="AB207" i="43"/>
  <c r="AC207" i="43"/>
  <c r="AD207" i="43"/>
  <c r="AE207" i="43"/>
  <c r="AF207" i="43"/>
  <c r="AG207" i="43"/>
  <c r="AH207" i="43"/>
  <c r="AI207" i="43"/>
  <c r="AJ207" i="43"/>
  <c r="AK207" i="43"/>
  <c r="J214" i="43"/>
  <c r="K214" i="43"/>
  <c r="L214" i="43"/>
  <c r="M214" i="43"/>
  <c r="N214" i="43"/>
  <c r="O214" i="43"/>
  <c r="P214" i="43"/>
  <c r="Q214" i="43"/>
  <c r="R214" i="43"/>
  <c r="S214" i="43"/>
  <c r="T214" i="43"/>
  <c r="U214" i="43"/>
  <c r="V214" i="43"/>
  <c r="W214" i="43"/>
  <c r="X214" i="43"/>
  <c r="Y214" i="43"/>
  <c r="Z214" i="43"/>
  <c r="AA214" i="43"/>
  <c r="AB214" i="43"/>
  <c r="AC214" i="43"/>
  <c r="AD214" i="43"/>
  <c r="AE214" i="43"/>
  <c r="AF214" i="43"/>
  <c r="AG214" i="43"/>
  <c r="AH214" i="43"/>
  <c r="AI214" i="43"/>
  <c r="AJ214" i="43"/>
  <c r="AK214" i="43"/>
  <c r="I214" i="43"/>
  <c r="I207" i="43"/>
  <c r="I201" i="43"/>
  <c r="I197" i="43"/>
  <c r="I189" i="43"/>
  <c r="I181" i="43"/>
  <c r="I170" i="43"/>
  <c r="I156" i="43"/>
  <c r="I150" i="43"/>
  <c r="I143" i="43"/>
  <c r="I137" i="43"/>
  <c r="I132" i="43"/>
  <c r="I122" i="43"/>
  <c r="I104" i="43"/>
  <c r="I99" i="43"/>
  <c r="I88" i="43"/>
  <c r="I83" i="43"/>
  <c r="I74" i="43"/>
  <c r="H79" i="43"/>
  <c r="H78" i="43"/>
  <c r="I69" i="43"/>
  <c r="I64" i="43"/>
  <c r="I57" i="43"/>
  <c r="I53" i="43"/>
  <c r="I49" i="43"/>
  <c r="I38" i="43"/>
  <c r="I32" i="43"/>
  <c r="I26" i="43"/>
  <c r="I18" i="43"/>
  <c r="I14" i="43"/>
  <c r="I6" i="43"/>
  <c r="H193" i="43"/>
  <c r="H194" i="43"/>
  <c r="H195" i="43"/>
  <c r="H196" i="43"/>
  <c r="H197" i="43"/>
  <c r="H198" i="43"/>
  <c r="H199" i="43"/>
  <c r="H200" i="43"/>
  <c r="H201" i="43"/>
  <c r="H202" i="43"/>
  <c r="H203" i="43"/>
  <c r="H204" i="43"/>
  <c r="H205" i="43"/>
  <c r="H206" i="43"/>
  <c r="H207" i="43"/>
  <c r="H208" i="43"/>
  <c r="H209" i="43"/>
  <c r="H210" i="43"/>
  <c r="H211" i="43"/>
  <c r="H212" i="43"/>
  <c r="H213" i="43"/>
  <c r="H214" i="43"/>
  <c r="H215" i="43"/>
  <c r="H216" i="43"/>
  <c r="H217" i="43"/>
  <c r="H218" i="43"/>
  <c r="H192" i="43"/>
  <c r="H191" i="43"/>
  <c r="H190" i="43"/>
  <c r="H189" i="43"/>
  <c r="H188" i="43"/>
  <c r="H187" i="43"/>
  <c r="H186" i="43"/>
  <c r="H185" i="43"/>
  <c r="H184" i="43"/>
  <c r="H183" i="43"/>
  <c r="H182" i="43"/>
  <c r="H181" i="43"/>
  <c r="H180" i="43"/>
  <c r="H179" i="43"/>
  <c r="H178" i="43"/>
  <c r="H177" i="43"/>
  <c r="H176" i="43"/>
  <c r="H175" i="43"/>
  <c r="H174" i="43"/>
  <c r="H173" i="43"/>
  <c r="H172" i="43"/>
  <c r="H171" i="43"/>
  <c r="H170" i="43"/>
  <c r="H169" i="43"/>
  <c r="H168" i="43"/>
  <c r="H167" i="43"/>
  <c r="H166" i="43"/>
  <c r="H165" i="43"/>
  <c r="H164" i="43"/>
  <c r="H163" i="43"/>
  <c r="H162" i="43"/>
  <c r="H161" i="43"/>
  <c r="H160" i="43"/>
  <c r="H159" i="43"/>
  <c r="H158" i="43"/>
  <c r="H157" i="43"/>
  <c r="H156" i="43"/>
  <c r="H155" i="43"/>
  <c r="H154" i="43"/>
  <c r="H153" i="43"/>
  <c r="H152" i="43"/>
  <c r="H151" i="43"/>
  <c r="H150" i="43"/>
  <c r="H149" i="43"/>
  <c r="H148" i="43"/>
  <c r="H147" i="43"/>
  <c r="H146" i="43"/>
  <c r="H145" i="43"/>
  <c r="H144" i="43"/>
  <c r="H143" i="43"/>
  <c r="H142" i="43"/>
  <c r="H141" i="43"/>
  <c r="H140" i="43"/>
  <c r="H139" i="43"/>
  <c r="H138" i="43"/>
  <c r="H137" i="43"/>
  <c r="H136" i="43"/>
  <c r="H135" i="43"/>
  <c r="H134" i="43"/>
  <c r="H133" i="43"/>
  <c r="H132" i="43"/>
  <c r="H131" i="43"/>
  <c r="H130" i="43"/>
  <c r="H129" i="43"/>
  <c r="H128" i="43"/>
  <c r="H127" i="43"/>
  <c r="H126" i="43"/>
  <c r="H125" i="43"/>
  <c r="H124" i="43"/>
  <c r="H123" i="43"/>
  <c r="H122" i="43"/>
  <c r="H121" i="43"/>
  <c r="H120" i="43"/>
  <c r="H119" i="43"/>
  <c r="H118" i="43"/>
  <c r="H117" i="43"/>
  <c r="H116" i="43"/>
  <c r="H115" i="43"/>
  <c r="H114" i="43"/>
  <c r="H113" i="43"/>
  <c r="H112" i="43"/>
  <c r="H111" i="43"/>
  <c r="H110" i="43"/>
  <c r="H109" i="43"/>
  <c r="H108" i="43"/>
  <c r="H107" i="43"/>
  <c r="H106" i="43"/>
  <c r="H105" i="43"/>
  <c r="H104" i="43"/>
  <c r="H103" i="43"/>
  <c r="H102" i="43"/>
  <c r="H101" i="43"/>
  <c r="H100" i="43"/>
  <c r="H99" i="43"/>
  <c r="H98" i="43"/>
  <c r="H97" i="43"/>
  <c r="H96" i="43"/>
  <c r="H95" i="43"/>
  <c r="H94" i="43"/>
  <c r="H93" i="43"/>
  <c r="H92" i="43"/>
  <c r="H91" i="43"/>
  <c r="H90" i="43"/>
  <c r="H89" i="43"/>
  <c r="H88" i="43"/>
  <c r="H87" i="43"/>
  <c r="H86" i="43"/>
  <c r="H85" i="43"/>
  <c r="H84" i="43"/>
  <c r="H83" i="43"/>
  <c r="H82" i="43"/>
  <c r="H81" i="43"/>
  <c r="H80" i="43"/>
  <c r="H77" i="43"/>
  <c r="H76" i="43"/>
  <c r="H75" i="43"/>
  <c r="H74" i="43"/>
  <c r="H73" i="43"/>
  <c r="H72" i="43"/>
  <c r="H71" i="43"/>
  <c r="H70" i="43"/>
  <c r="H69" i="43"/>
  <c r="H68" i="43"/>
  <c r="H67" i="43"/>
  <c r="H66" i="43"/>
  <c r="H65" i="43"/>
  <c r="H64" i="43"/>
  <c r="H63" i="43"/>
  <c r="H62" i="43"/>
  <c r="H61" i="43"/>
  <c r="H60" i="43"/>
  <c r="H59" i="43"/>
  <c r="H58" i="43"/>
  <c r="H57" i="43"/>
  <c r="H56" i="43"/>
  <c r="H55" i="43"/>
  <c r="H54" i="43"/>
  <c r="H53" i="43"/>
  <c r="H52" i="43"/>
  <c r="H51" i="43"/>
  <c r="H50" i="43"/>
  <c r="H49" i="43"/>
  <c r="H48" i="43"/>
  <c r="H47" i="43"/>
  <c r="H46" i="43"/>
  <c r="H45" i="43"/>
  <c r="H44" i="43"/>
  <c r="H43" i="43"/>
  <c r="H42" i="43"/>
  <c r="H41" i="43"/>
  <c r="H40" i="43"/>
  <c r="H39" i="43"/>
  <c r="H38" i="43"/>
  <c r="H37" i="43"/>
  <c r="H36" i="43"/>
  <c r="H35" i="43"/>
  <c r="H34" i="43"/>
  <c r="H33" i="43"/>
  <c r="H32" i="43"/>
  <c r="H31" i="43"/>
  <c r="H30" i="43"/>
  <c r="H29" i="43"/>
  <c r="H28" i="43"/>
  <c r="H27" i="43"/>
  <c r="H26" i="43"/>
  <c r="H25" i="43"/>
  <c r="H24" i="43"/>
  <c r="H23" i="43"/>
  <c r="H22" i="43"/>
  <c r="H21" i="43"/>
  <c r="H20" i="43"/>
  <c r="H19" i="43"/>
  <c r="H18" i="43"/>
  <c r="H17" i="43"/>
  <c r="H16" i="43"/>
  <c r="H15" i="43"/>
  <c r="H14" i="43"/>
  <c r="H13" i="43"/>
  <c r="H12" i="43"/>
  <c r="H11" i="43"/>
  <c r="H10" i="43"/>
  <c r="H9" i="43"/>
  <c r="H8" i="43"/>
  <c r="H7" i="43"/>
  <c r="H6" i="43"/>
  <c r="H5" i="43"/>
  <c r="H4" i="43"/>
  <c r="AH206" i="43" l="1"/>
  <c r="AD206" i="43"/>
  <c r="Z206" i="43"/>
  <c r="V206" i="43"/>
  <c r="R206" i="43"/>
  <c r="N206" i="43"/>
  <c r="J206" i="43"/>
  <c r="AB155" i="43"/>
  <c r="T155" i="43"/>
  <c r="L155" i="43"/>
  <c r="AK136" i="43"/>
  <c r="AK135" i="43" s="1"/>
  <c r="AG136" i="43"/>
  <c r="AG135" i="43" s="1"/>
  <c r="AG131" i="43" s="1"/>
  <c r="AG130" i="43" s="1"/>
  <c r="AG129" i="43" s="1"/>
  <c r="AG127" i="43" s="1"/>
  <c r="AG121" i="43" s="1"/>
  <c r="AG120" i="43" s="1"/>
  <c r="AC136" i="43"/>
  <c r="AC135" i="43" s="1"/>
  <c r="AC131" i="43" s="1"/>
  <c r="AC130" i="43" s="1"/>
  <c r="AC129" i="43" s="1"/>
  <c r="AC127" i="43" s="1"/>
  <c r="AC121" i="43" s="1"/>
  <c r="AC120" i="43" s="1"/>
  <c r="Y136" i="43"/>
  <c r="Y135" i="43" s="1"/>
  <c r="Y131" i="43" s="1"/>
  <c r="Y130" i="43" s="1"/>
  <c r="Y129" i="43" s="1"/>
  <c r="Y127" i="43" s="1"/>
  <c r="Y121" i="43" s="1"/>
  <c r="Y120" i="43" s="1"/>
  <c r="U136" i="43"/>
  <c r="U135" i="43" s="1"/>
  <c r="Q136" i="43"/>
  <c r="Q135" i="43" s="1"/>
  <c r="M136" i="43"/>
  <c r="M135" i="43" s="1"/>
  <c r="M131" i="43" s="1"/>
  <c r="M130" i="43" s="1"/>
  <c r="M129" i="43" s="1"/>
  <c r="M127" i="43" s="1"/>
  <c r="M121" i="43" s="1"/>
  <c r="M120" i="43" s="1"/>
  <c r="AH63" i="43"/>
  <c r="AH62" i="43" s="1"/>
  <c r="AK206" i="43"/>
  <c r="AG206" i="43"/>
  <c r="AC206" i="43"/>
  <c r="Y206" i="43"/>
  <c r="U206" i="43"/>
  <c r="Q206" i="43"/>
  <c r="M206" i="43"/>
  <c r="K103" i="43"/>
  <c r="Q131" i="43"/>
  <c r="Q130" i="43" s="1"/>
  <c r="Q129" i="43" s="1"/>
  <c r="Q127" i="43" s="1"/>
  <c r="Q121" i="43" s="1"/>
  <c r="Q120" i="43" s="1"/>
  <c r="I103" i="43"/>
  <c r="AK155" i="43"/>
  <c r="AK154" i="43" s="1"/>
  <c r="AG155" i="43"/>
  <c r="AG154" i="43" s="1"/>
  <c r="AC155" i="43"/>
  <c r="AC154" i="43" s="1"/>
  <c r="Y155" i="43"/>
  <c r="Y154" i="43" s="1"/>
  <c r="U155" i="43"/>
  <c r="U154" i="43" s="1"/>
  <c r="Q155" i="43"/>
  <c r="Q154" i="43" s="1"/>
  <c r="M155" i="43"/>
  <c r="M154" i="43" s="1"/>
  <c r="I155" i="43"/>
  <c r="AI206" i="43"/>
  <c r="AE206" i="43"/>
  <c r="AA206" i="43"/>
  <c r="W206" i="43"/>
  <c r="S206" i="43"/>
  <c r="O206" i="43"/>
  <c r="K206" i="43"/>
  <c r="AH155" i="43"/>
  <c r="AH154" i="43" s="1"/>
  <c r="Z155" i="43"/>
  <c r="Z154" i="43" s="1"/>
  <c r="R155" i="43"/>
  <c r="R154" i="43" s="1"/>
  <c r="AD155" i="43"/>
  <c r="AD154" i="43" s="1"/>
  <c r="V155" i="43"/>
  <c r="V154" i="43" s="1"/>
  <c r="N155" i="43"/>
  <c r="N154" i="43" s="1"/>
  <c r="AD131" i="43"/>
  <c r="AD130" i="43" s="1"/>
  <c r="AD129" i="43" s="1"/>
  <c r="AD127" i="43" s="1"/>
  <c r="AD121" i="43" s="1"/>
  <c r="AD120" i="43" s="1"/>
  <c r="V131" i="43"/>
  <c r="V130" i="43" s="1"/>
  <c r="V129" i="43" s="1"/>
  <c r="V127" i="43" s="1"/>
  <c r="N131" i="43"/>
  <c r="N130" i="43" s="1"/>
  <c r="N129" i="43" s="1"/>
  <c r="N127" i="43" s="1"/>
  <c r="AI63" i="43"/>
  <c r="AI62" i="43" s="1"/>
  <c r="AE63" i="43"/>
  <c r="AE62" i="43" s="1"/>
  <c r="AA63" i="43"/>
  <c r="AA62" i="43" s="1"/>
  <c r="W63" i="43"/>
  <c r="W62" i="43" s="1"/>
  <c r="S63" i="43"/>
  <c r="S62" i="43" s="1"/>
  <c r="O63" i="43"/>
  <c r="O62" i="43" s="1"/>
  <c r="K63" i="43"/>
  <c r="AI48" i="43"/>
  <c r="AE48" i="43"/>
  <c r="AA48" i="43"/>
  <c r="W48" i="43"/>
  <c r="S48" i="43"/>
  <c r="O48" i="43"/>
  <c r="K48" i="43"/>
  <c r="AH5" i="43"/>
  <c r="AD5" i="43"/>
  <c r="AD4" i="43" s="1"/>
  <c r="Z5" i="43"/>
  <c r="V5" i="43"/>
  <c r="R5" i="43"/>
  <c r="N5" i="43"/>
  <c r="N4" i="43" s="1"/>
  <c r="J5" i="43"/>
  <c r="BH206" i="43"/>
  <c r="BD206" i="43"/>
  <c r="AV206" i="43"/>
  <c r="AR206" i="43"/>
  <c r="AN206" i="43"/>
  <c r="V63" i="43"/>
  <c r="V62" i="43" s="1"/>
  <c r="AH48" i="43"/>
  <c r="AD48" i="43"/>
  <c r="Z48" i="43"/>
  <c r="V48" i="43"/>
  <c r="R48" i="43"/>
  <c r="N48" i="43"/>
  <c r="J48" i="43"/>
  <c r="AK5" i="43"/>
  <c r="AC5" i="43"/>
  <c r="AC4" i="43" s="1"/>
  <c r="AC3" i="43" s="1"/>
  <c r="U5" i="43"/>
  <c r="M5" i="43"/>
  <c r="M4" i="43" s="1"/>
  <c r="M3" i="43" s="1"/>
  <c r="AU5" i="43"/>
  <c r="AU4" i="43" s="1"/>
  <c r="P155" i="43"/>
  <c r="P154" i="43" s="1"/>
  <c r="AF155" i="43"/>
  <c r="AF154" i="43" s="1"/>
  <c r="X155" i="43"/>
  <c r="X154" i="43" s="1"/>
  <c r="AB136" i="43"/>
  <c r="AB135" i="43" s="1"/>
  <c r="AB131" i="43" s="1"/>
  <c r="AB130" i="43" s="1"/>
  <c r="AB129" i="43" s="1"/>
  <c r="AB127" i="43" s="1"/>
  <c r="L136" i="43"/>
  <c r="AJ131" i="43"/>
  <c r="AJ130" i="43" s="1"/>
  <c r="AJ129" i="43" s="1"/>
  <c r="AJ127" i="43" s="1"/>
  <c r="T131" i="43"/>
  <c r="T130" i="43" s="1"/>
  <c r="T129" i="43" s="1"/>
  <c r="T127" i="43" s="1"/>
  <c r="J103" i="43"/>
  <c r="Y63" i="43"/>
  <c r="U63" i="43"/>
  <c r="AK48" i="43"/>
  <c r="AJ5" i="43"/>
  <c r="AB5" i="43"/>
  <c r="X5" i="43"/>
  <c r="T5" i="43"/>
  <c r="P5" i="43"/>
  <c r="L5" i="43"/>
  <c r="AJ206" i="43"/>
  <c r="AB206" i="43"/>
  <c r="T206" i="43"/>
  <c r="L206" i="43"/>
  <c r="AI155" i="43"/>
  <c r="AE155" i="43"/>
  <c r="AA155" i="43"/>
  <c r="W155" i="43"/>
  <c r="S155" i="43"/>
  <c r="O155" i="43"/>
  <c r="AI136" i="43"/>
  <c r="AI135" i="43" s="1"/>
  <c r="AE136" i="43"/>
  <c r="AE135" i="43" s="1"/>
  <c r="AA136" i="43"/>
  <c r="AA135" i="43" s="1"/>
  <c r="W136" i="43"/>
  <c r="W135" i="43" s="1"/>
  <c r="S136" i="43"/>
  <c r="S135" i="43" s="1"/>
  <c r="O136" i="43"/>
  <c r="O135" i="43" s="1"/>
  <c r="K136" i="43"/>
  <c r="AI131" i="43"/>
  <c r="AI130" i="43" s="1"/>
  <c r="AI129" i="43" s="1"/>
  <c r="AI127" i="43" s="1"/>
  <c r="AE131" i="43"/>
  <c r="AE130" i="43" s="1"/>
  <c r="AE129" i="43" s="1"/>
  <c r="AE127" i="43" s="1"/>
  <c r="AA131" i="43"/>
  <c r="AA130" i="43" s="1"/>
  <c r="AA129" i="43" s="1"/>
  <c r="AA127" i="43" s="1"/>
  <c r="W131" i="43"/>
  <c r="W130" i="43" s="1"/>
  <c r="W129" i="43" s="1"/>
  <c r="W127" i="43" s="1"/>
  <c r="S131" i="43"/>
  <c r="S130" i="43" s="1"/>
  <c r="S129" i="43" s="1"/>
  <c r="S127" i="43" s="1"/>
  <c r="O131" i="43"/>
  <c r="O130" i="43" s="1"/>
  <c r="O129" i="43" s="1"/>
  <c r="O127" i="43" s="1"/>
  <c r="Y62" i="43"/>
  <c r="Q62" i="43"/>
  <c r="AJ63" i="43"/>
  <c r="AJ62" i="43" s="1"/>
  <c r="AF63" i="43"/>
  <c r="T63" i="43"/>
  <c r="P63" i="43"/>
  <c r="P62" i="43" s="1"/>
  <c r="AB48" i="43"/>
  <c r="L48" i="43"/>
  <c r="AJ48" i="43"/>
  <c r="T48" i="43"/>
  <c r="AI5" i="43"/>
  <c r="AI4" i="43" s="1"/>
  <c r="AE5" i="43"/>
  <c r="AE4" i="43" s="1"/>
  <c r="AA5" i="43"/>
  <c r="AA4" i="43" s="1"/>
  <c r="W5" i="43"/>
  <c r="W4" i="43" s="1"/>
  <c r="S5" i="43"/>
  <c r="S4" i="43" s="1"/>
  <c r="O5" i="43"/>
  <c r="O4" i="43" s="1"/>
  <c r="K5" i="43"/>
  <c r="BE155" i="43"/>
  <c r="BA155" i="43"/>
  <c r="AW155" i="43"/>
  <c r="AS155" i="43"/>
  <c r="AS154" i="43" s="1"/>
  <c r="AO155" i="43"/>
  <c r="BG155" i="43"/>
  <c r="BC155" i="43"/>
  <c r="AY155" i="43"/>
  <c r="AU155" i="43"/>
  <c r="AQ155" i="43"/>
  <c r="AM155" i="43"/>
  <c r="BF155" i="43"/>
  <c r="BF154" i="43" s="1"/>
  <c r="BB155" i="43"/>
  <c r="AX155" i="43"/>
  <c r="AT155" i="43"/>
  <c r="AP155" i="43"/>
  <c r="AP154" i="43" s="1"/>
  <c r="AL155" i="43"/>
  <c r="BG136" i="43"/>
  <c r="BG135" i="43" s="1"/>
  <c r="BG131" i="43" s="1"/>
  <c r="BG130" i="43" s="1"/>
  <c r="BG129" i="43" s="1"/>
  <c r="BG127" i="43" s="1"/>
  <c r="BC136" i="43"/>
  <c r="BC135" i="43" s="1"/>
  <c r="BC131" i="43" s="1"/>
  <c r="BC130" i="43" s="1"/>
  <c r="BC129" i="43" s="1"/>
  <c r="BC127" i="43" s="1"/>
  <c r="AY136" i="43"/>
  <c r="AY135" i="43" s="1"/>
  <c r="AY131" i="43" s="1"/>
  <c r="AY130" i="43" s="1"/>
  <c r="AY129" i="43" s="1"/>
  <c r="AY127" i="43" s="1"/>
  <c r="AU136" i="43"/>
  <c r="AU135" i="43" s="1"/>
  <c r="AU131" i="43" s="1"/>
  <c r="AU130" i="43" s="1"/>
  <c r="AU129" i="43" s="1"/>
  <c r="AU127" i="43" s="1"/>
  <c r="AU121" i="43" s="1"/>
  <c r="AU120" i="43" s="1"/>
  <c r="AQ136" i="43"/>
  <c r="AQ135" i="43" s="1"/>
  <c r="AQ131" i="43" s="1"/>
  <c r="AQ130" i="43" s="1"/>
  <c r="AQ129" i="43" s="1"/>
  <c r="AQ127" i="43" s="1"/>
  <c r="AM136" i="43"/>
  <c r="BE206" i="43"/>
  <c r="BA206" i="43"/>
  <c r="AW206" i="43"/>
  <c r="AS206" i="43"/>
  <c r="AO206" i="43"/>
  <c r="AO154" i="43" s="1"/>
  <c r="BE48" i="43"/>
  <c r="BA48" i="43"/>
  <c r="AW48" i="43"/>
  <c r="AS48" i="43"/>
  <c r="AO48" i="43"/>
  <c r="BH155" i="43"/>
  <c r="BH154" i="43" s="1"/>
  <c r="BD155" i="43"/>
  <c r="BD154" i="43" s="1"/>
  <c r="AZ155" i="43"/>
  <c r="AZ154" i="43" s="1"/>
  <c r="AV155" i="43"/>
  <c r="AV154" i="43" s="1"/>
  <c r="AR155" i="43"/>
  <c r="AR154" i="43" s="1"/>
  <c r="AN155" i="43"/>
  <c r="AN154" i="43" s="1"/>
  <c r="BF136" i="43"/>
  <c r="BF135" i="43" s="1"/>
  <c r="BB136" i="43"/>
  <c r="BB135" i="43" s="1"/>
  <c r="AX136" i="43"/>
  <c r="AX135" i="43" s="1"/>
  <c r="AT136" i="43"/>
  <c r="AT135" i="43" s="1"/>
  <c r="AP136" i="43"/>
  <c r="AP135" i="43" s="1"/>
  <c r="AP131" i="43" s="1"/>
  <c r="AP130" i="43" s="1"/>
  <c r="AP129" i="43" s="1"/>
  <c r="AP127" i="43" s="1"/>
  <c r="AP121" i="43" s="1"/>
  <c r="AP120" i="43" s="1"/>
  <c r="AL136" i="43"/>
  <c r="AL135" i="43" s="1"/>
  <c r="BE136" i="43"/>
  <c r="BE135" i="43" s="1"/>
  <c r="BA136" i="43"/>
  <c r="BA135" i="43" s="1"/>
  <c r="AW136" i="43"/>
  <c r="AW135" i="43" s="1"/>
  <c r="AW131" i="43" s="1"/>
  <c r="AW130" i="43" s="1"/>
  <c r="AW129" i="43" s="1"/>
  <c r="AW127" i="43" s="1"/>
  <c r="AW121" i="43" s="1"/>
  <c r="AW120" i="43" s="1"/>
  <c r="AS136" i="43"/>
  <c r="AS135" i="43" s="1"/>
  <c r="AO136" i="43"/>
  <c r="AO135" i="43" s="1"/>
  <c r="BE63" i="43"/>
  <c r="AW63" i="43"/>
  <c r="AW62" i="43" s="1"/>
  <c r="AS63" i="43"/>
  <c r="AO63" i="43"/>
  <c r="BH48" i="43"/>
  <c r="BD48" i="43"/>
  <c r="AZ48" i="43"/>
  <c r="AV48" i="43"/>
  <c r="AR48" i="43"/>
  <c r="AN48" i="43"/>
  <c r="BG5" i="43"/>
  <c r="BG4" i="43" s="1"/>
  <c r="BC5" i="43"/>
  <c r="BC4" i="43" s="1"/>
  <c r="AY5" i="43"/>
  <c r="AY4" i="43" s="1"/>
  <c r="AQ5" i="43"/>
  <c r="AQ4" i="43" s="1"/>
  <c r="AM5" i="43"/>
  <c r="AM4" i="43" s="1"/>
  <c r="AW154" i="43"/>
  <c r="BC154" i="43"/>
  <c r="AU154" i="43"/>
  <c r="AM154" i="43"/>
  <c r="AX154" i="43"/>
  <c r="AT154" i="43"/>
  <c r="AL154" i="43"/>
  <c r="AM135" i="43"/>
  <c r="BE154" i="43"/>
  <c r="BA154" i="43"/>
  <c r="BG154" i="43"/>
  <c r="AY154" i="43"/>
  <c r="AQ154" i="43"/>
  <c r="BB154" i="43"/>
  <c r="BB131" i="43"/>
  <c r="BB130" i="43" s="1"/>
  <c r="BB129" i="43" s="1"/>
  <c r="BB127" i="43" s="1"/>
  <c r="BB121" i="43" s="1"/>
  <c r="BB120" i="43" s="1"/>
  <c r="AT131" i="43"/>
  <c r="AT130" i="43" s="1"/>
  <c r="AT129" i="43" s="1"/>
  <c r="AT127" i="43" s="1"/>
  <c r="AT121" i="43" s="1"/>
  <c r="AT120" i="43" s="1"/>
  <c r="BC121" i="43"/>
  <c r="BC120" i="43" s="1"/>
  <c r="AQ121" i="43"/>
  <c r="AQ120" i="43" s="1"/>
  <c r="BH136" i="43"/>
  <c r="BH135" i="43" s="1"/>
  <c r="BH131" i="43" s="1"/>
  <c r="BH130" i="43" s="1"/>
  <c r="BH129" i="43" s="1"/>
  <c r="BH127" i="43" s="1"/>
  <c r="BD136" i="43"/>
  <c r="BD135" i="43" s="1"/>
  <c r="BD131" i="43" s="1"/>
  <c r="BD130" i="43" s="1"/>
  <c r="BD129" i="43" s="1"/>
  <c r="BD127" i="43" s="1"/>
  <c r="BD121" i="43" s="1"/>
  <c r="BD120" i="43" s="1"/>
  <c r="AZ136" i="43"/>
  <c r="AZ135" i="43" s="1"/>
  <c r="AZ131" i="43" s="1"/>
  <c r="AZ130" i="43" s="1"/>
  <c r="AZ129" i="43" s="1"/>
  <c r="AZ127" i="43" s="1"/>
  <c r="AZ121" i="43" s="1"/>
  <c r="AZ120" i="43" s="1"/>
  <c r="AV136" i="43"/>
  <c r="AV135" i="43" s="1"/>
  <c r="AV131" i="43" s="1"/>
  <c r="AV130" i="43" s="1"/>
  <c r="AV129" i="43" s="1"/>
  <c r="AV127" i="43" s="1"/>
  <c r="AV121" i="43" s="1"/>
  <c r="AV120" i="43" s="1"/>
  <c r="AR136" i="43"/>
  <c r="AR135" i="43" s="1"/>
  <c r="AR131" i="43" s="1"/>
  <c r="AR130" i="43" s="1"/>
  <c r="AR129" i="43" s="1"/>
  <c r="AR127" i="43" s="1"/>
  <c r="AN136" i="43"/>
  <c r="AN135" i="43" s="1"/>
  <c r="AN131" i="43" s="1"/>
  <c r="AN130" i="43" s="1"/>
  <c r="AN129" i="43" s="1"/>
  <c r="AN127" i="43" s="1"/>
  <c r="AN121" i="43" s="1"/>
  <c r="AN120" i="43" s="1"/>
  <c r="BE131" i="43"/>
  <c r="BE130" i="43" s="1"/>
  <c r="BE129" i="43" s="1"/>
  <c r="BE127" i="43" s="1"/>
  <c r="BE121" i="43" s="1"/>
  <c r="BE120" i="43" s="1"/>
  <c r="BA131" i="43"/>
  <c r="BA130" i="43" s="1"/>
  <c r="BA129" i="43" s="1"/>
  <c r="BA127" i="43" s="1"/>
  <c r="BA121" i="43" s="1"/>
  <c r="BA120" i="43" s="1"/>
  <c r="AS131" i="43"/>
  <c r="AS130" i="43" s="1"/>
  <c r="AS129" i="43" s="1"/>
  <c r="AS127" i="43" s="1"/>
  <c r="AO131" i="43"/>
  <c r="AO130" i="43" s="1"/>
  <c r="AO129" i="43" s="1"/>
  <c r="AO127" i="43" s="1"/>
  <c r="AO121" i="43" s="1"/>
  <c r="AO120" i="43" s="1"/>
  <c r="BF131" i="43"/>
  <c r="BF130" i="43" s="1"/>
  <c r="BF129" i="43" s="1"/>
  <c r="BF127" i="43" s="1"/>
  <c r="BF121" i="43" s="1"/>
  <c r="BF120" i="43" s="1"/>
  <c r="AX131" i="43"/>
  <c r="AX130" i="43" s="1"/>
  <c r="AX129" i="43" s="1"/>
  <c r="AX127" i="43" s="1"/>
  <c r="AX121" i="43" s="1"/>
  <c r="AX120" i="43" s="1"/>
  <c r="AL131" i="43"/>
  <c r="AL130" i="43" s="1"/>
  <c r="AL129" i="43" s="1"/>
  <c r="AL127" i="43" s="1"/>
  <c r="AL121" i="43" s="1"/>
  <c r="AL120" i="43" s="1"/>
  <c r="BG121" i="43"/>
  <c r="BG120" i="43" s="1"/>
  <c r="AY121" i="43"/>
  <c r="AY120" i="43" s="1"/>
  <c r="AY3" i="43" s="1"/>
  <c r="BH121" i="43"/>
  <c r="BH120" i="43" s="1"/>
  <c r="AR121" i="43"/>
  <c r="AR120" i="43" s="1"/>
  <c r="AS121" i="43"/>
  <c r="AS120" i="43" s="1"/>
  <c r="BE62" i="43"/>
  <c r="AS62" i="43"/>
  <c r="AO62" i="43"/>
  <c r="BA62" i="43"/>
  <c r="BH63" i="43"/>
  <c r="BH62" i="43" s="1"/>
  <c r="BD63" i="43"/>
  <c r="BD62" i="43" s="1"/>
  <c r="AZ63" i="43"/>
  <c r="AZ62" i="43" s="1"/>
  <c r="AV63" i="43"/>
  <c r="AV62" i="43" s="1"/>
  <c r="AR63" i="43"/>
  <c r="AR62" i="43" s="1"/>
  <c r="AN63" i="43"/>
  <c r="BG63" i="43"/>
  <c r="BG62" i="43" s="1"/>
  <c r="BG3" i="43" s="1"/>
  <c r="BC63" i="43"/>
  <c r="BC62" i="43" s="1"/>
  <c r="AY63" i="43"/>
  <c r="AY62" i="43" s="1"/>
  <c r="AU63" i="43"/>
  <c r="AU62" i="43" s="1"/>
  <c r="AU3" i="43" s="1"/>
  <c r="AQ63" i="43"/>
  <c r="AQ62" i="43" s="1"/>
  <c r="AM63" i="43"/>
  <c r="BF63" i="43"/>
  <c r="BF62" i="43" s="1"/>
  <c r="BB63" i="43"/>
  <c r="BB62" i="43" s="1"/>
  <c r="AX63" i="43"/>
  <c r="AX62" i="43" s="1"/>
  <c r="AT63" i="43"/>
  <c r="AT62" i="43" s="1"/>
  <c r="AP63" i="43"/>
  <c r="AP62" i="43" s="1"/>
  <c r="AL63" i="43"/>
  <c r="AL62" i="43" s="1"/>
  <c r="BF5" i="43"/>
  <c r="BF4" i="43" s="1"/>
  <c r="BB5" i="43"/>
  <c r="BB4" i="43" s="1"/>
  <c r="AX5" i="43"/>
  <c r="AX4" i="43" s="1"/>
  <c r="AT5" i="43"/>
  <c r="AT4" i="43" s="1"/>
  <c r="AT3" i="43" s="1"/>
  <c r="AP5" i="43"/>
  <c r="AP4" i="43" s="1"/>
  <c r="AL5" i="43"/>
  <c r="AL4" i="43" s="1"/>
  <c r="BE5" i="43"/>
  <c r="BE4" i="43" s="1"/>
  <c r="BA5" i="43"/>
  <c r="BA4" i="43" s="1"/>
  <c r="AW5" i="43"/>
  <c r="AW4" i="43" s="1"/>
  <c r="AS5" i="43"/>
  <c r="AO5" i="43"/>
  <c r="AO4" i="43" s="1"/>
  <c r="BH5" i="43"/>
  <c r="BH4" i="43" s="1"/>
  <c r="BD5" i="43"/>
  <c r="AZ5" i="43"/>
  <c r="AZ4" i="43" s="1"/>
  <c r="AZ3" i="43" s="1"/>
  <c r="AV5" i="43"/>
  <c r="AV4" i="43" s="1"/>
  <c r="AR5" i="43"/>
  <c r="AR4" i="43" s="1"/>
  <c r="AN5" i="43"/>
  <c r="AB121" i="43"/>
  <c r="AB120" i="43" s="1"/>
  <c r="T121" i="43"/>
  <c r="T120" i="43" s="1"/>
  <c r="L135" i="43"/>
  <c r="AJ154" i="43"/>
  <c r="AB154" i="43"/>
  <c r="T154" i="43"/>
  <c r="L154" i="43"/>
  <c r="AJ121" i="43"/>
  <c r="AJ120" i="43" s="1"/>
  <c r="AJ4" i="43"/>
  <c r="AB4" i="43"/>
  <c r="T4" i="43"/>
  <c r="L4" i="43"/>
  <c r="AF136" i="43"/>
  <c r="AF135" i="43" s="1"/>
  <c r="AF131" i="43" s="1"/>
  <c r="AF130" i="43" s="1"/>
  <c r="AF129" i="43" s="1"/>
  <c r="AF127" i="43" s="1"/>
  <c r="AF121" i="43" s="1"/>
  <c r="AF120" i="43" s="1"/>
  <c r="X136" i="43"/>
  <c r="X135" i="43" s="1"/>
  <c r="P136" i="43"/>
  <c r="P135" i="43" s="1"/>
  <c r="P131" i="43" s="1"/>
  <c r="P130" i="43" s="1"/>
  <c r="P129" i="43" s="1"/>
  <c r="P127" i="43" s="1"/>
  <c r="P121" i="43" s="1"/>
  <c r="P120" i="43" s="1"/>
  <c r="AK131" i="43"/>
  <c r="AK130" i="43" s="1"/>
  <c r="AK129" i="43" s="1"/>
  <c r="AK127" i="43" s="1"/>
  <c r="U131" i="43"/>
  <c r="U130" i="43" s="1"/>
  <c r="U129" i="43" s="1"/>
  <c r="U127" i="43" s="1"/>
  <c r="U121" i="43" s="1"/>
  <c r="U120" i="43" s="1"/>
  <c r="M62" i="43"/>
  <c r="AI154" i="43"/>
  <c r="AE154" i="43"/>
  <c r="AE3" i="43" s="1"/>
  <c r="AA154" i="43"/>
  <c r="W154" i="43"/>
  <c r="S154" i="43"/>
  <c r="O154" i="43"/>
  <c r="O3" i="43" s="1"/>
  <c r="X131" i="43"/>
  <c r="X130" i="43" s="1"/>
  <c r="X129" i="43" s="1"/>
  <c r="X127" i="43" s="1"/>
  <c r="X121" i="43" s="1"/>
  <c r="X120" i="43" s="1"/>
  <c r="L131" i="43"/>
  <c r="V121" i="43"/>
  <c r="V120" i="43" s="1"/>
  <c r="N121" i="43"/>
  <c r="N120" i="43" s="1"/>
  <c r="J155" i="43"/>
  <c r="AH136" i="43"/>
  <c r="AH135" i="43" s="1"/>
  <c r="AH131" i="43" s="1"/>
  <c r="AH130" i="43" s="1"/>
  <c r="AH129" i="43" s="1"/>
  <c r="AH127" i="43" s="1"/>
  <c r="AH121" i="43" s="1"/>
  <c r="AH120" i="43" s="1"/>
  <c r="Z136" i="43"/>
  <c r="Z135" i="43" s="1"/>
  <c r="Z131" i="43" s="1"/>
  <c r="Z130" i="43" s="1"/>
  <c r="Z129" i="43" s="1"/>
  <c r="Z127" i="43" s="1"/>
  <c r="Z121" i="43" s="1"/>
  <c r="Z120" i="43" s="1"/>
  <c r="R136" i="43"/>
  <c r="R135" i="43" s="1"/>
  <c r="R131" i="43" s="1"/>
  <c r="R130" i="43" s="1"/>
  <c r="R129" i="43" s="1"/>
  <c r="R127" i="43" s="1"/>
  <c r="R121" i="43" s="1"/>
  <c r="R120" i="43" s="1"/>
  <c r="J136" i="43"/>
  <c r="AG62" i="43"/>
  <c r="AK63" i="43"/>
  <c r="AK62" i="43" s="1"/>
  <c r="U62" i="43"/>
  <c r="AG48" i="43"/>
  <c r="AG4" i="43" s="1"/>
  <c r="Y48" i="43"/>
  <c r="Q48" i="43"/>
  <c r="Q4" i="43" s="1"/>
  <c r="Q3" i="43" s="1"/>
  <c r="AK4" i="43"/>
  <c r="U4" i="43"/>
  <c r="AI121" i="43"/>
  <c r="AI120" i="43" s="1"/>
  <c r="AE121" i="43"/>
  <c r="AE120" i="43" s="1"/>
  <c r="AA121" i="43"/>
  <c r="AA120" i="43" s="1"/>
  <c r="W121" i="43"/>
  <c r="W120" i="43" s="1"/>
  <c r="S121" i="43"/>
  <c r="S120" i="43" s="1"/>
  <c r="O121" i="43"/>
  <c r="O120" i="43" s="1"/>
  <c r="AD63" i="43"/>
  <c r="AD62" i="43" s="1"/>
  <c r="AD3" i="43" s="1"/>
  <c r="Z63" i="43"/>
  <c r="Z62" i="43" s="1"/>
  <c r="N63" i="43"/>
  <c r="N62" i="43" s="1"/>
  <c r="N3" i="43" s="1"/>
  <c r="J63" i="43"/>
  <c r="AB62" i="43"/>
  <c r="AF48" i="43"/>
  <c r="AF4" i="43" s="1"/>
  <c r="X48" i="43"/>
  <c r="X4" i="43" s="1"/>
  <c r="P48" i="43"/>
  <c r="W3" i="43"/>
  <c r="Y4" i="43"/>
  <c r="Y3" i="43" s="1"/>
  <c r="K155" i="43"/>
  <c r="AK121" i="43"/>
  <c r="AK120" i="43" s="1"/>
  <c r="AF62" i="43"/>
  <c r="T62" i="43"/>
  <c r="L62" i="43"/>
  <c r="I48" i="43"/>
  <c r="I206" i="43"/>
  <c r="I5" i="43"/>
  <c r="I136" i="43"/>
  <c r="I154" i="43"/>
  <c r="I135" i="43"/>
  <c r="I63" i="43"/>
  <c r="X3" i="43" l="1"/>
  <c r="AA3" i="43"/>
  <c r="AJ3" i="43"/>
  <c r="AN4" i="43"/>
  <c r="BD4" i="43"/>
  <c r="AW3" i="43"/>
  <c r="AQ3" i="43"/>
  <c r="J4" i="43"/>
  <c r="Z4" i="43"/>
  <c r="K135" i="43"/>
  <c r="Z3" i="43"/>
  <c r="AH3" i="43"/>
  <c r="S3" i="43"/>
  <c r="AI3" i="43"/>
  <c r="T3" i="43"/>
  <c r="AV3" i="43"/>
  <c r="K4" i="43"/>
  <c r="R4" i="43"/>
  <c r="R3" i="43" s="1"/>
  <c r="AH4" i="43"/>
  <c r="AG3" i="43"/>
  <c r="AS4" i="43"/>
  <c r="BC3" i="43"/>
  <c r="V4" i="43"/>
  <c r="V3" i="43" s="1"/>
  <c r="K62" i="43"/>
  <c r="BD3" i="43"/>
  <c r="AO3" i="43"/>
  <c r="BE3" i="43"/>
  <c r="AL3" i="43"/>
  <c r="BB3" i="43"/>
  <c r="BA3" i="43"/>
  <c r="AX3" i="43"/>
  <c r="AM131" i="43"/>
  <c r="AM130" i="43" s="1"/>
  <c r="AM129" i="43" s="1"/>
  <c r="AM127" i="43" s="1"/>
  <c r="AM121" i="43" s="1"/>
  <c r="AM120" i="43" s="1"/>
  <c r="AR3" i="43"/>
  <c r="BH3" i="43"/>
  <c r="AS3" i="43"/>
  <c r="AP3" i="43"/>
  <c r="BF3" i="43"/>
  <c r="AM62" i="43"/>
  <c r="AN62" i="43"/>
  <c r="P4" i="43"/>
  <c r="P3" i="43" s="1"/>
  <c r="AK3" i="43"/>
  <c r="AB3" i="43"/>
  <c r="AF3" i="43"/>
  <c r="K154" i="43"/>
  <c r="J62" i="43"/>
  <c r="U3" i="43"/>
  <c r="J135" i="43"/>
  <c r="J154" i="43"/>
  <c r="L130" i="43"/>
  <c r="I62" i="43"/>
  <c r="I131" i="43"/>
  <c r="I4" i="43"/>
  <c r="A2" i="42"/>
  <c r="L129" i="43" l="1"/>
  <c r="AN3" i="43"/>
  <c r="K131" i="43"/>
  <c r="AM3" i="43"/>
  <c r="J131" i="43"/>
  <c r="I130" i="43"/>
  <c r="B4" i="42"/>
  <c r="AJ222" i="42"/>
  <c r="AK222" i="42" s="1"/>
  <c r="AH222" i="42"/>
  <c r="AE222" i="42"/>
  <c r="AD222" i="42"/>
  <c r="AB222" i="42"/>
  <c r="U222" i="42"/>
  <c r="V222" i="42" s="1"/>
  <c r="I222" i="42"/>
  <c r="H222" i="42"/>
  <c r="AJ221" i="42"/>
  <c r="AK221" i="42" s="1"/>
  <c r="AH221" i="42"/>
  <c r="AE221" i="42"/>
  <c r="AD221" i="42"/>
  <c r="AB221" i="42"/>
  <c r="U221" i="42"/>
  <c r="V221" i="42" s="1"/>
  <c r="I221" i="42"/>
  <c r="H221" i="42"/>
  <c r="AJ220" i="42"/>
  <c r="AK220" i="42" s="1"/>
  <c r="AH220" i="42"/>
  <c r="AE220" i="42"/>
  <c r="AD220" i="42"/>
  <c r="AB220" i="42"/>
  <c r="U220" i="42"/>
  <c r="V220" i="42" s="1"/>
  <c r="I220" i="42"/>
  <c r="H220" i="42"/>
  <c r="AK219" i="42"/>
  <c r="AJ219" i="42"/>
  <c r="AH219" i="42"/>
  <c r="AE219" i="42"/>
  <c r="AD219" i="42"/>
  <c r="AB219" i="42"/>
  <c r="U219" i="42"/>
  <c r="V219" i="42" s="1"/>
  <c r="I219" i="42"/>
  <c r="I218" i="42" s="1"/>
  <c r="H219" i="42"/>
  <c r="AJ218" i="42"/>
  <c r="AI218" i="42"/>
  <c r="AH218" i="42"/>
  <c r="AE218" i="42"/>
  <c r="AD218" i="42"/>
  <c r="AB218" i="42"/>
  <c r="AJ217" i="42"/>
  <c r="AK217" i="42" s="1"/>
  <c r="AH217" i="42"/>
  <c r="AE217" i="42"/>
  <c r="AD217" i="42"/>
  <c r="AB217" i="42"/>
  <c r="U217" i="42"/>
  <c r="V217" i="42" s="1"/>
  <c r="I217" i="42"/>
  <c r="H217" i="42"/>
  <c r="AJ216" i="42"/>
  <c r="AK216" i="42" s="1"/>
  <c r="AH216" i="42"/>
  <c r="AE216" i="42"/>
  <c r="AD216" i="42"/>
  <c r="AB216" i="42"/>
  <c r="U216" i="42"/>
  <c r="V216" i="42" s="1"/>
  <c r="I216" i="42"/>
  <c r="H216" i="42"/>
  <c r="AJ215" i="42"/>
  <c r="AK215" i="42" s="1"/>
  <c r="AH215" i="42"/>
  <c r="AE215" i="42"/>
  <c r="AD215" i="42"/>
  <c r="AB215" i="42"/>
  <c r="U215" i="42"/>
  <c r="V215" i="42" s="1"/>
  <c r="AJ214" i="42"/>
  <c r="AK214" i="42" s="1"/>
  <c r="AH214" i="42"/>
  <c r="AE214" i="42"/>
  <c r="AD214" i="42"/>
  <c r="AB214" i="42"/>
  <c r="U214" i="42"/>
  <c r="V214" i="42" s="1"/>
  <c r="I214" i="42"/>
  <c r="H214" i="42"/>
  <c r="AJ213" i="42"/>
  <c r="AK213" i="42" s="1"/>
  <c r="AH213" i="42"/>
  <c r="AE213" i="42"/>
  <c r="AD213" i="42"/>
  <c r="AB213" i="42"/>
  <c r="U213" i="42"/>
  <c r="V213" i="42" s="1"/>
  <c r="I213" i="42"/>
  <c r="AJ212" i="42"/>
  <c r="AK212" i="42" s="1"/>
  <c r="AH212" i="42"/>
  <c r="AE212" i="42"/>
  <c r="AD212" i="42"/>
  <c r="AB212" i="42"/>
  <c r="U212" i="42"/>
  <c r="V212" i="42" s="1"/>
  <c r="I212" i="42"/>
  <c r="AJ211" i="42"/>
  <c r="AJ210" i="42" s="1"/>
  <c r="AI211" i="42"/>
  <c r="AH211" i="42"/>
  <c r="AE211" i="42"/>
  <c r="AD211" i="42"/>
  <c r="AB211" i="42"/>
  <c r="AG210" i="42"/>
  <c r="AF210" i="42"/>
  <c r="AC210" i="42"/>
  <c r="AA210" i="42"/>
  <c r="Z210" i="42"/>
  <c r="Y210" i="42"/>
  <c r="AJ209" i="42"/>
  <c r="AK209" i="42" s="1"/>
  <c r="AH209" i="42"/>
  <c r="AE209" i="42"/>
  <c r="AD209" i="42"/>
  <c r="AB209" i="42"/>
  <c r="U209" i="42"/>
  <c r="I209" i="42"/>
  <c r="H209" i="42"/>
  <c r="AJ208" i="42"/>
  <c r="AK208" i="42" s="1"/>
  <c r="AH208" i="42"/>
  <c r="AE208" i="42"/>
  <c r="AD208" i="42"/>
  <c r="AB208" i="42"/>
  <c r="U208" i="42"/>
  <c r="I208" i="42"/>
  <c r="H208" i="42"/>
  <c r="AJ207" i="42"/>
  <c r="AH207" i="42"/>
  <c r="AE207" i="42"/>
  <c r="AD207" i="42"/>
  <c r="AB207" i="42"/>
  <c r="U207" i="42"/>
  <c r="I207" i="42"/>
  <c r="H207" i="42"/>
  <c r="AJ206" i="42"/>
  <c r="AK206" i="42" s="1"/>
  <c r="AH206" i="42"/>
  <c r="AE206" i="42"/>
  <c r="AD206" i="42"/>
  <c r="AB206" i="42"/>
  <c r="U206" i="42"/>
  <c r="I206" i="42"/>
  <c r="H206" i="42"/>
  <c r="AI205" i="42"/>
  <c r="AH205" i="42"/>
  <c r="AE205" i="42"/>
  <c r="AD205" i="42"/>
  <c r="AB205" i="42"/>
  <c r="V205" i="42"/>
  <c r="AJ204" i="42"/>
  <c r="AK204" i="42" s="1"/>
  <c r="AH204" i="42"/>
  <c r="AE204" i="42"/>
  <c r="AD204" i="42"/>
  <c r="AB204" i="42"/>
  <c r="U204" i="42"/>
  <c r="V204" i="42" s="1"/>
  <c r="I204" i="42"/>
  <c r="AJ203" i="42"/>
  <c r="AK203" i="42" s="1"/>
  <c r="AH203" i="42"/>
  <c r="AE203" i="42"/>
  <c r="AD203" i="42"/>
  <c r="AB203" i="42"/>
  <c r="U203" i="42"/>
  <c r="V203" i="42" s="1"/>
  <c r="I203" i="42"/>
  <c r="H203" i="42"/>
  <c r="AJ202" i="42"/>
  <c r="AK202" i="42" s="1"/>
  <c r="AH202" i="42"/>
  <c r="AE202" i="42"/>
  <c r="AD202" i="42"/>
  <c r="AB202" i="42"/>
  <c r="U202" i="42"/>
  <c r="V202" i="42" s="1"/>
  <c r="I202" i="42"/>
  <c r="H202" i="42"/>
  <c r="AJ201" i="42"/>
  <c r="AI201" i="42"/>
  <c r="AH201" i="42"/>
  <c r="AE201" i="42"/>
  <c r="AD201" i="42"/>
  <c r="AB201" i="42"/>
  <c r="AJ200" i="42"/>
  <c r="AK200" i="42" s="1"/>
  <c r="AH200" i="42"/>
  <c r="AE200" i="42"/>
  <c r="AD200" i="42"/>
  <c r="AB200" i="42"/>
  <c r="U200" i="42"/>
  <c r="V200" i="42" s="1"/>
  <c r="I200" i="42"/>
  <c r="AJ199" i="42"/>
  <c r="AK199" i="42" s="1"/>
  <c r="AH199" i="42"/>
  <c r="AE199" i="42"/>
  <c r="AD199" i="42"/>
  <c r="AB199" i="42"/>
  <c r="U199" i="42"/>
  <c r="V199" i="42" s="1"/>
  <c r="I199" i="42"/>
  <c r="AJ198" i="42"/>
  <c r="AK198" i="42" s="1"/>
  <c r="AH198" i="42"/>
  <c r="AE198" i="42"/>
  <c r="AD198" i="42"/>
  <c r="AB198" i="42"/>
  <c r="U198" i="42"/>
  <c r="V198" i="42" s="1"/>
  <c r="I198" i="42"/>
  <c r="H198" i="42"/>
  <c r="H193" i="42" s="1"/>
  <c r="AJ197" i="42"/>
  <c r="AK197" i="42" s="1"/>
  <c r="AH197" i="42"/>
  <c r="AE197" i="42"/>
  <c r="AD197" i="42"/>
  <c r="AB197" i="42"/>
  <c r="U197" i="42"/>
  <c r="V197" i="42" s="1"/>
  <c r="I197" i="42"/>
  <c r="AJ196" i="42"/>
  <c r="AK196" i="42" s="1"/>
  <c r="AH196" i="42"/>
  <c r="AE196" i="42"/>
  <c r="AD196" i="42"/>
  <c r="AB196" i="42"/>
  <c r="U196" i="42"/>
  <c r="V196" i="42" s="1"/>
  <c r="I196" i="42"/>
  <c r="AJ195" i="42"/>
  <c r="AK195" i="42" s="1"/>
  <c r="AH195" i="42"/>
  <c r="AE195" i="42"/>
  <c r="AD195" i="42"/>
  <c r="AB195" i="42"/>
  <c r="U195" i="42"/>
  <c r="V195" i="42" s="1"/>
  <c r="I195" i="42"/>
  <c r="AJ194" i="42"/>
  <c r="AK194" i="42" s="1"/>
  <c r="AH194" i="42"/>
  <c r="AE194" i="42"/>
  <c r="AD194" i="42"/>
  <c r="AB194" i="42"/>
  <c r="U194" i="42"/>
  <c r="V194" i="42" s="1"/>
  <c r="I194" i="42"/>
  <c r="AJ193" i="42"/>
  <c r="AI193" i="42"/>
  <c r="AH193" i="42"/>
  <c r="AE193" i="42"/>
  <c r="AD193" i="42"/>
  <c r="AB193" i="42"/>
  <c r="AJ192" i="42"/>
  <c r="AK192" i="42" s="1"/>
  <c r="AH192" i="42"/>
  <c r="AE192" i="42"/>
  <c r="AD192" i="42"/>
  <c r="AB192" i="42"/>
  <c r="U192" i="42"/>
  <c r="V192" i="42" s="1"/>
  <c r="I192" i="42"/>
  <c r="AJ191" i="42"/>
  <c r="AK191" i="42" s="1"/>
  <c r="AH191" i="42"/>
  <c r="AE191" i="42"/>
  <c r="AD191" i="42"/>
  <c r="AB191" i="42"/>
  <c r="U191" i="42"/>
  <c r="V191" i="42" s="1"/>
  <c r="I191" i="42"/>
  <c r="H191" i="42"/>
  <c r="AJ190" i="42"/>
  <c r="AK190" i="42" s="1"/>
  <c r="AH190" i="42"/>
  <c r="AE190" i="42"/>
  <c r="AD190" i="42"/>
  <c r="AB190" i="42"/>
  <c r="U190" i="42"/>
  <c r="V190" i="42" s="1"/>
  <c r="H190" i="42"/>
  <c r="AJ189" i="42"/>
  <c r="AK189" i="42" s="1"/>
  <c r="AH189" i="42"/>
  <c r="AE189" i="42"/>
  <c r="AD189" i="42"/>
  <c r="AB189" i="42"/>
  <c r="U189" i="42"/>
  <c r="V189" i="42" s="1"/>
  <c r="I189" i="42"/>
  <c r="H189" i="42"/>
  <c r="AJ188" i="42"/>
  <c r="AK188" i="42" s="1"/>
  <c r="AH188" i="42"/>
  <c r="AE188" i="42"/>
  <c r="AD188" i="42"/>
  <c r="AB188" i="42"/>
  <c r="U188" i="42"/>
  <c r="V188" i="42" s="1"/>
  <c r="I188" i="42"/>
  <c r="H188" i="42"/>
  <c r="AJ187" i="42"/>
  <c r="AK187" i="42" s="1"/>
  <c r="AH187" i="42"/>
  <c r="AE187" i="42"/>
  <c r="AD187" i="42"/>
  <c r="AB187" i="42"/>
  <c r="U187" i="42"/>
  <c r="V187" i="42" s="1"/>
  <c r="I187" i="42"/>
  <c r="H187" i="42"/>
  <c r="AJ186" i="42"/>
  <c r="AK186" i="42" s="1"/>
  <c r="AH186" i="42"/>
  <c r="AE186" i="42"/>
  <c r="AD186" i="42"/>
  <c r="AB186" i="42"/>
  <c r="U186" i="42"/>
  <c r="V186" i="42" s="1"/>
  <c r="I186" i="42"/>
  <c r="H186" i="42"/>
  <c r="AJ185" i="42"/>
  <c r="AI185" i="42"/>
  <c r="AH185" i="42"/>
  <c r="AE185" i="42"/>
  <c r="AD185" i="42"/>
  <c r="AB185" i="42"/>
  <c r="AJ184" i="42"/>
  <c r="AK184" i="42" s="1"/>
  <c r="AH184" i="42"/>
  <c r="AE184" i="42"/>
  <c r="AD184" i="42"/>
  <c r="AB184" i="42"/>
  <c r="U184" i="42"/>
  <c r="V184" i="42" s="1"/>
  <c r="I184" i="42"/>
  <c r="H184" i="42"/>
  <c r="AJ183" i="42"/>
  <c r="AK183" i="42" s="1"/>
  <c r="AH183" i="42"/>
  <c r="AE183" i="42"/>
  <c r="AD183" i="42"/>
  <c r="AB183" i="42"/>
  <c r="U183" i="42"/>
  <c r="V183" i="42" s="1"/>
  <c r="I183" i="42"/>
  <c r="H183" i="42"/>
  <c r="AJ182" i="42"/>
  <c r="AK182" i="42" s="1"/>
  <c r="AH182" i="42"/>
  <c r="AE182" i="42"/>
  <c r="AD182" i="42"/>
  <c r="AB182" i="42"/>
  <c r="U182" i="42"/>
  <c r="V182" i="42" s="1"/>
  <c r="I182" i="42"/>
  <c r="H182" i="42"/>
  <c r="AJ181" i="42"/>
  <c r="AK181" i="42" s="1"/>
  <c r="AH181" i="42"/>
  <c r="AE181" i="42"/>
  <c r="AD181" i="42"/>
  <c r="AB181" i="42"/>
  <c r="U181" i="42"/>
  <c r="V181" i="42" s="1"/>
  <c r="I181" i="42"/>
  <c r="H181" i="42"/>
  <c r="AJ180" i="42"/>
  <c r="AK180" i="42" s="1"/>
  <c r="AH180" i="42"/>
  <c r="AE180" i="42"/>
  <c r="AD180" i="42"/>
  <c r="AB180" i="42"/>
  <c r="U180" i="42"/>
  <c r="V180" i="42" s="1"/>
  <c r="I180" i="42"/>
  <c r="H180" i="42"/>
  <c r="AJ179" i="42"/>
  <c r="AK179" i="42" s="1"/>
  <c r="AH179" i="42"/>
  <c r="AE179" i="42"/>
  <c r="AD179" i="42"/>
  <c r="AB179" i="42"/>
  <c r="U179" i="42"/>
  <c r="V179" i="42" s="1"/>
  <c r="I179" i="42"/>
  <c r="H179" i="42"/>
  <c r="AJ178" i="42"/>
  <c r="AK178" i="42" s="1"/>
  <c r="AH178" i="42"/>
  <c r="AE178" i="42"/>
  <c r="AD178" i="42"/>
  <c r="AB178" i="42"/>
  <c r="U178" i="42"/>
  <c r="V178" i="42" s="1"/>
  <c r="I178" i="42"/>
  <c r="H178" i="42"/>
  <c r="AJ177" i="42"/>
  <c r="AK177" i="42" s="1"/>
  <c r="AH177" i="42"/>
  <c r="AE177" i="42"/>
  <c r="AD177" i="42"/>
  <c r="AB177" i="42"/>
  <c r="U177" i="42"/>
  <c r="V177" i="42" s="1"/>
  <c r="I177" i="42"/>
  <c r="H177" i="42"/>
  <c r="AJ176" i="42"/>
  <c r="AK176" i="42" s="1"/>
  <c r="AH176" i="42"/>
  <c r="AE176" i="42"/>
  <c r="AD176" i="42"/>
  <c r="AB176" i="42"/>
  <c r="U176" i="42"/>
  <c r="V176" i="42" s="1"/>
  <c r="I176" i="42"/>
  <c r="H176" i="42"/>
  <c r="AJ175" i="42"/>
  <c r="AK175" i="42" s="1"/>
  <c r="AH175" i="42"/>
  <c r="AE175" i="42"/>
  <c r="AD175" i="42"/>
  <c r="AB175" i="42"/>
  <c r="U175" i="42"/>
  <c r="V175" i="42" s="1"/>
  <c r="I175" i="42"/>
  <c r="H175" i="42"/>
  <c r="AJ174" i="42"/>
  <c r="AI174" i="42"/>
  <c r="AH174" i="42"/>
  <c r="AE174" i="42"/>
  <c r="AD174" i="42"/>
  <c r="AB174" i="42"/>
  <c r="AJ173" i="42"/>
  <c r="AK173" i="42" s="1"/>
  <c r="AH173" i="42"/>
  <c r="AE173" i="42"/>
  <c r="AD173" i="42"/>
  <c r="AB173" i="42"/>
  <c r="U173" i="42"/>
  <c r="V173" i="42" s="1"/>
  <c r="I173" i="42"/>
  <c r="AJ172" i="42"/>
  <c r="AK172" i="42" s="1"/>
  <c r="AH172" i="42"/>
  <c r="AE172" i="42"/>
  <c r="AD172" i="42"/>
  <c r="AB172" i="42"/>
  <c r="U172" i="42"/>
  <c r="V172" i="42" s="1"/>
  <c r="I172" i="42"/>
  <c r="H172" i="42"/>
  <c r="AJ171" i="42"/>
  <c r="AK171" i="42" s="1"/>
  <c r="AH171" i="42"/>
  <c r="AE171" i="42"/>
  <c r="AD171" i="42"/>
  <c r="AB171" i="42"/>
  <c r="U171" i="42"/>
  <c r="V171" i="42" s="1"/>
  <c r="AJ170" i="42"/>
  <c r="AK170" i="42" s="1"/>
  <c r="AH170" i="42"/>
  <c r="AE170" i="42"/>
  <c r="AD170" i="42"/>
  <c r="AB170" i="42"/>
  <c r="U170" i="42"/>
  <c r="V170" i="42" s="1"/>
  <c r="AJ169" i="42"/>
  <c r="AK169" i="42" s="1"/>
  <c r="AH169" i="42"/>
  <c r="AE169" i="42"/>
  <c r="AD169" i="42"/>
  <c r="AB169" i="42"/>
  <c r="U169" i="42"/>
  <c r="V169" i="42" s="1"/>
  <c r="I169" i="42"/>
  <c r="AJ168" i="42"/>
  <c r="AK168" i="42" s="1"/>
  <c r="AH168" i="42"/>
  <c r="AE168" i="42"/>
  <c r="AD168" i="42"/>
  <c r="AB168" i="42"/>
  <c r="U168" i="42"/>
  <c r="V168" i="42" s="1"/>
  <c r="I168" i="42"/>
  <c r="H168" i="42"/>
  <c r="AJ167" i="42"/>
  <c r="AK167" i="42" s="1"/>
  <c r="AH167" i="42"/>
  <c r="AE167" i="42"/>
  <c r="AD167" i="42"/>
  <c r="AB167" i="42"/>
  <c r="U167" i="42"/>
  <c r="V167" i="42" s="1"/>
  <c r="I167" i="42"/>
  <c r="H167" i="42"/>
  <c r="AJ166" i="42"/>
  <c r="AK166" i="42" s="1"/>
  <c r="AH166" i="42"/>
  <c r="AE166" i="42"/>
  <c r="AD166" i="42"/>
  <c r="AB166" i="42"/>
  <c r="U166" i="42"/>
  <c r="V166" i="42" s="1"/>
  <c r="I166" i="42"/>
  <c r="H166" i="42"/>
  <c r="AJ165" i="42"/>
  <c r="AK165" i="42" s="1"/>
  <c r="AH165" i="42"/>
  <c r="AE165" i="42"/>
  <c r="AD165" i="42"/>
  <c r="AB165" i="42"/>
  <c r="U165" i="42"/>
  <c r="V165" i="42" s="1"/>
  <c r="I165" i="42"/>
  <c r="H165" i="42"/>
  <c r="AJ164" i="42"/>
  <c r="AK164" i="42" s="1"/>
  <c r="AH164" i="42"/>
  <c r="AE164" i="42"/>
  <c r="AD164" i="42"/>
  <c r="AB164" i="42"/>
  <c r="U164" i="42"/>
  <c r="V164" i="42" s="1"/>
  <c r="I164" i="42"/>
  <c r="H164" i="42"/>
  <c r="AJ163" i="42"/>
  <c r="AK163" i="42" s="1"/>
  <c r="AH163" i="42"/>
  <c r="AE163" i="42"/>
  <c r="AD163" i="42"/>
  <c r="AB163" i="42"/>
  <c r="U163" i="42"/>
  <c r="V163" i="42" s="1"/>
  <c r="I163" i="42"/>
  <c r="H163" i="42"/>
  <c r="AJ162" i="42"/>
  <c r="AK162" i="42" s="1"/>
  <c r="AH162" i="42"/>
  <c r="AE162" i="42"/>
  <c r="AD162" i="42"/>
  <c r="AB162" i="42"/>
  <c r="U162" i="42"/>
  <c r="V162" i="42" s="1"/>
  <c r="I162" i="42"/>
  <c r="AJ161" i="42"/>
  <c r="AK161" i="42" s="1"/>
  <c r="AH161" i="42"/>
  <c r="AE161" i="42"/>
  <c r="AD161" i="42"/>
  <c r="AB161" i="42"/>
  <c r="U161" i="42"/>
  <c r="V161" i="42" s="1"/>
  <c r="I161" i="42"/>
  <c r="H161" i="42"/>
  <c r="AJ160" i="42"/>
  <c r="AI160" i="42"/>
  <c r="AH160" i="42"/>
  <c r="AE160" i="42"/>
  <c r="AD160" i="42"/>
  <c r="AB160" i="42"/>
  <c r="AG159" i="42"/>
  <c r="AF159" i="42"/>
  <c r="AC159" i="42"/>
  <c r="AA159" i="42"/>
  <c r="Z159" i="42"/>
  <c r="Y159" i="42"/>
  <c r="AJ157" i="42"/>
  <c r="AK157" i="42" s="1"/>
  <c r="AH157" i="42"/>
  <c r="AE157" i="42"/>
  <c r="AD157" i="42"/>
  <c r="AB157" i="42"/>
  <c r="U157" i="42"/>
  <c r="V157" i="42" s="1"/>
  <c r="I157" i="42"/>
  <c r="H157" i="42"/>
  <c r="H154" i="42" s="1"/>
  <c r="AJ156" i="42"/>
  <c r="AK156" i="42" s="1"/>
  <c r="AH156" i="42"/>
  <c r="AE156" i="42"/>
  <c r="AD156" i="42"/>
  <c r="AB156" i="42"/>
  <c r="U156" i="42"/>
  <c r="V156" i="42" s="1"/>
  <c r="I156" i="42"/>
  <c r="AJ155" i="42"/>
  <c r="AK155" i="42" s="1"/>
  <c r="AH155" i="42"/>
  <c r="AE155" i="42"/>
  <c r="AD155" i="42"/>
  <c r="AB155" i="42"/>
  <c r="U155" i="42"/>
  <c r="V155" i="42" s="1"/>
  <c r="I155" i="42"/>
  <c r="AJ154" i="42"/>
  <c r="AI154" i="42"/>
  <c r="AH154" i="42"/>
  <c r="AE154" i="42"/>
  <c r="AD154" i="42"/>
  <c r="AB154" i="42"/>
  <c r="AJ153" i="42"/>
  <c r="AK153" i="42" s="1"/>
  <c r="AH153" i="42"/>
  <c r="AE153" i="42"/>
  <c r="AD153" i="42"/>
  <c r="AB153" i="42"/>
  <c r="U153" i="42"/>
  <c r="V153" i="42" s="1"/>
  <c r="I153" i="42"/>
  <c r="H153" i="42"/>
  <c r="AJ152" i="42"/>
  <c r="AK152" i="42" s="1"/>
  <c r="AH152" i="42"/>
  <c r="AE152" i="42"/>
  <c r="AD152" i="42"/>
  <c r="AB152" i="42"/>
  <c r="U152" i="42"/>
  <c r="V152" i="42" s="1"/>
  <c r="I152" i="42"/>
  <c r="H152" i="42"/>
  <c r="AJ151" i="42"/>
  <c r="AK151" i="42" s="1"/>
  <c r="AH151" i="42"/>
  <c r="AE151" i="42"/>
  <c r="AD151" i="42"/>
  <c r="AB151" i="42"/>
  <c r="U151" i="42"/>
  <c r="V151" i="42" s="1"/>
  <c r="I151" i="42"/>
  <c r="H151" i="42"/>
  <c r="AJ150" i="42"/>
  <c r="AK150" i="42" s="1"/>
  <c r="AH150" i="42"/>
  <c r="AE150" i="42"/>
  <c r="AD150" i="42"/>
  <c r="AB150" i="42"/>
  <c r="U150" i="42"/>
  <c r="V150" i="42" s="1"/>
  <c r="I150" i="42"/>
  <c r="H150" i="42"/>
  <c r="AJ149" i="42"/>
  <c r="AK149" i="42" s="1"/>
  <c r="AH149" i="42"/>
  <c r="AE149" i="42"/>
  <c r="AD149" i="42"/>
  <c r="AB149" i="42"/>
  <c r="U149" i="42"/>
  <c r="V149" i="42" s="1"/>
  <c r="I149" i="42"/>
  <c r="H149" i="42"/>
  <c r="AJ148" i="42"/>
  <c r="AK148" i="42" s="1"/>
  <c r="AH148" i="42"/>
  <c r="AE148" i="42"/>
  <c r="AD148" i="42"/>
  <c r="AB148" i="42"/>
  <c r="U148" i="42"/>
  <c r="V148" i="42" s="1"/>
  <c r="I148" i="42"/>
  <c r="H148" i="42"/>
  <c r="H147" i="42" s="1"/>
  <c r="AJ147" i="42"/>
  <c r="AI147" i="42"/>
  <c r="AH147" i="42"/>
  <c r="AE147" i="42"/>
  <c r="AD147" i="42"/>
  <c r="AB147" i="42"/>
  <c r="AJ146" i="42"/>
  <c r="AK146" i="42" s="1"/>
  <c r="AH146" i="42"/>
  <c r="AE146" i="42"/>
  <c r="AD146" i="42"/>
  <c r="AB146" i="42"/>
  <c r="U146" i="42"/>
  <c r="V146" i="42" s="1"/>
  <c r="I146" i="42"/>
  <c r="H146" i="42"/>
  <c r="AJ145" i="42"/>
  <c r="AK145" i="42" s="1"/>
  <c r="AH145" i="42"/>
  <c r="AE145" i="42"/>
  <c r="AD145" i="42"/>
  <c r="AB145" i="42"/>
  <c r="U145" i="42"/>
  <c r="V145" i="42" s="1"/>
  <c r="I145" i="42"/>
  <c r="H145" i="42"/>
  <c r="AJ144" i="42"/>
  <c r="AK144" i="42" s="1"/>
  <c r="AH144" i="42"/>
  <c r="AE144" i="42"/>
  <c r="AD144" i="42"/>
  <c r="AB144" i="42"/>
  <c r="U144" i="42"/>
  <c r="V144" i="42" s="1"/>
  <c r="I144" i="42"/>
  <c r="H144" i="42"/>
  <c r="AJ143" i="42"/>
  <c r="AK143" i="42" s="1"/>
  <c r="AH143" i="42"/>
  <c r="AE143" i="42"/>
  <c r="AD143" i="42"/>
  <c r="AB143" i="42"/>
  <c r="U143" i="42"/>
  <c r="V143" i="42" s="1"/>
  <c r="I143" i="42"/>
  <c r="AJ142" i="42"/>
  <c r="AK142" i="42" s="1"/>
  <c r="AH142" i="42"/>
  <c r="AE142" i="42"/>
  <c r="AD142" i="42"/>
  <c r="AB142" i="42"/>
  <c r="U142" i="42"/>
  <c r="V142" i="42" s="1"/>
  <c r="I142" i="42"/>
  <c r="H142" i="42"/>
  <c r="AJ141" i="42"/>
  <c r="AI141" i="42"/>
  <c r="AH141" i="42"/>
  <c r="AE141" i="42"/>
  <c r="AD141" i="42"/>
  <c r="AB141" i="42"/>
  <c r="AG140" i="42"/>
  <c r="AF140" i="42"/>
  <c r="AF139" i="42" s="1"/>
  <c r="AC140" i="42"/>
  <c r="AA140" i="42"/>
  <c r="AA139" i="42" s="1"/>
  <c r="Z140" i="42"/>
  <c r="Z139" i="42" s="1"/>
  <c r="Y140" i="42"/>
  <c r="Y139" i="42" s="1"/>
  <c r="AJ138" i="42"/>
  <c r="AK138" i="42" s="1"/>
  <c r="AH138" i="42"/>
  <c r="AE138" i="42"/>
  <c r="AD138" i="42"/>
  <c r="AB138" i="42"/>
  <c r="U138" i="42"/>
  <c r="V138" i="42" s="1"/>
  <c r="AJ137" i="42"/>
  <c r="AK137" i="42" s="1"/>
  <c r="AH137" i="42"/>
  <c r="AE137" i="42"/>
  <c r="AD137" i="42"/>
  <c r="AB137" i="42"/>
  <c r="U137" i="42"/>
  <c r="V137" i="42" s="1"/>
  <c r="I137" i="42"/>
  <c r="I136" i="42" s="1"/>
  <c r="AI136" i="42"/>
  <c r="AH136" i="42"/>
  <c r="AE136" i="42"/>
  <c r="AD136" i="42"/>
  <c r="AB136" i="42"/>
  <c r="Z136" i="42"/>
  <c r="AJ136" i="42" s="1"/>
  <c r="AJ135" i="42"/>
  <c r="AK135" i="42" s="1"/>
  <c r="AH135" i="42"/>
  <c r="AE135" i="42"/>
  <c r="AD135" i="42"/>
  <c r="AB135" i="42"/>
  <c r="U135" i="42"/>
  <c r="V135" i="42" s="1"/>
  <c r="I135" i="42"/>
  <c r="H135" i="42"/>
  <c r="AJ134" i="42"/>
  <c r="AK134" i="42" s="1"/>
  <c r="AH134" i="42"/>
  <c r="AE134" i="42"/>
  <c r="AD134" i="42"/>
  <c r="AB134" i="42"/>
  <c r="U134" i="42"/>
  <c r="V134" i="42" s="1"/>
  <c r="H134" i="42"/>
  <c r="AJ133" i="42"/>
  <c r="AK133" i="42" s="1"/>
  <c r="AH133" i="42"/>
  <c r="AE133" i="42"/>
  <c r="AD133" i="42"/>
  <c r="AB133" i="42"/>
  <c r="U133" i="42"/>
  <c r="V133" i="42" s="1"/>
  <c r="H133" i="42"/>
  <c r="AJ132" i="42"/>
  <c r="AK132" i="42" s="1"/>
  <c r="AH132" i="42"/>
  <c r="AE132" i="42"/>
  <c r="AD132" i="42"/>
  <c r="AB132" i="42"/>
  <c r="U132" i="42"/>
  <c r="V132" i="42" s="1"/>
  <c r="I132" i="42"/>
  <c r="H132" i="42"/>
  <c r="AJ131" i="42"/>
  <c r="AI131" i="42"/>
  <c r="AH131" i="42"/>
  <c r="AE131" i="42"/>
  <c r="AD131" i="42"/>
  <c r="AB131" i="42"/>
  <c r="AJ130" i="42"/>
  <c r="AK130" i="42" s="1"/>
  <c r="AH130" i="42"/>
  <c r="AE130" i="42"/>
  <c r="AD130" i="42"/>
  <c r="AB130" i="42"/>
  <c r="U130" i="42"/>
  <c r="V130" i="42" s="1"/>
  <c r="I130" i="42"/>
  <c r="H130" i="42"/>
  <c r="AJ129" i="42"/>
  <c r="AK129" i="42" s="1"/>
  <c r="AH129" i="42"/>
  <c r="AE129" i="42"/>
  <c r="AD129" i="42"/>
  <c r="AB129" i="42"/>
  <c r="U129" i="42"/>
  <c r="V129" i="42" s="1"/>
  <c r="I129" i="42"/>
  <c r="H129" i="42"/>
  <c r="AJ128" i="42"/>
  <c r="AK128" i="42" s="1"/>
  <c r="AH128" i="42"/>
  <c r="AE128" i="42"/>
  <c r="AD128" i="42"/>
  <c r="AB128" i="42"/>
  <c r="U128" i="42"/>
  <c r="V128" i="42" s="1"/>
  <c r="I128" i="42"/>
  <c r="AJ127" i="42"/>
  <c r="AK127" i="42" s="1"/>
  <c r="AH127" i="42"/>
  <c r="AE127" i="42"/>
  <c r="AD127" i="42"/>
  <c r="AB127" i="42"/>
  <c r="U127" i="42"/>
  <c r="V127" i="42" s="1"/>
  <c r="I127" i="42"/>
  <c r="H127" i="42"/>
  <c r="AJ126" i="42"/>
  <c r="AI126" i="42"/>
  <c r="AH126" i="42"/>
  <c r="AE126" i="42"/>
  <c r="AD126" i="42"/>
  <c r="AB126" i="42"/>
  <c r="AG125" i="42"/>
  <c r="Q124" i="42" s="1"/>
  <c r="AF125" i="42"/>
  <c r="AF124" i="42" s="1"/>
  <c r="AC125" i="42"/>
  <c r="AA125" i="42"/>
  <c r="AA124" i="42" s="1"/>
  <c r="Y125" i="42"/>
  <c r="J124" i="42" s="1"/>
  <c r="AJ123" i="42"/>
  <c r="AK123" i="42" s="1"/>
  <c r="AH123" i="42"/>
  <c r="AE123" i="42"/>
  <c r="AD123" i="42"/>
  <c r="AB123" i="42"/>
  <c r="U123" i="42"/>
  <c r="V123" i="42" s="1"/>
  <c r="I123" i="42"/>
  <c r="H123" i="42"/>
  <c r="AJ122" i="42"/>
  <c r="AK122" i="42" s="1"/>
  <c r="AH122" i="42"/>
  <c r="AE122" i="42"/>
  <c r="AD122" i="42"/>
  <c r="AB122" i="42"/>
  <c r="U122" i="42"/>
  <c r="V122" i="42" s="1"/>
  <c r="I122" i="42"/>
  <c r="H122" i="42"/>
  <c r="AJ121" i="42"/>
  <c r="AK121" i="42" s="1"/>
  <c r="AH121" i="42"/>
  <c r="AE121" i="42"/>
  <c r="AD121" i="42"/>
  <c r="AB121" i="42"/>
  <c r="U121" i="42"/>
  <c r="V121" i="42" s="1"/>
  <c r="I121" i="42"/>
  <c r="AJ120" i="42"/>
  <c r="AK120" i="42" s="1"/>
  <c r="AH120" i="42"/>
  <c r="AE120" i="42"/>
  <c r="AD120" i="42"/>
  <c r="AB120" i="42"/>
  <c r="U120" i="42"/>
  <c r="V120" i="42" s="1"/>
  <c r="I120" i="42"/>
  <c r="H120" i="42"/>
  <c r="AJ119" i="42"/>
  <c r="AK119" i="42" s="1"/>
  <c r="AH119" i="42"/>
  <c r="AE119" i="42"/>
  <c r="AD119" i="42"/>
  <c r="AB119" i="42"/>
  <c r="U119" i="42"/>
  <c r="V119" i="42" s="1"/>
  <c r="I119" i="42"/>
  <c r="H119" i="42"/>
  <c r="AJ118" i="42"/>
  <c r="AK118" i="42" s="1"/>
  <c r="AH118" i="42"/>
  <c r="AE118" i="42"/>
  <c r="AD118" i="42"/>
  <c r="AB118" i="42"/>
  <c r="U118" i="42"/>
  <c r="V118" i="42" s="1"/>
  <c r="I118" i="42"/>
  <c r="H118" i="42"/>
  <c r="AJ117" i="42"/>
  <c r="AK117" i="42" s="1"/>
  <c r="AH117" i="42"/>
  <c r="AE117" i="42"/>
  <c r="AD117" i="42"/>
  <c r="AB117" i="42"/>
  <c r="U117" i="42"/>
  <c r="V117" i="42" s="1"/>
  <c r="I117" i="42"/>
  <c r="H117" i="42"/>
  <c r="AJ116" i="42"/>
  <c r="AK116" i="42" s="1"/>
  <c r="AH116" i="42"/>
  <c r="AE116" i="42"/>
  <c r="AD116" i="42"/>
  <c r="AB116" i="42"/>
  <c r="U116" i="42"/>
  <c r="V116" i="42" s="1"/>
  <c r="AJ115" i="42"/>
  <c r="AK115" i="42" s="1"/>
  <c r="AH115" i="42"/>
  <c r="AE115" i="42"/>
  <c r="AD115" i="42"/>
  <c r="AB115" i="42"/>
  <c r="U115" i="42"/>
  <c r="V115" i="42" s="1"/>
  <c r="I115" i="42"/>
  <c r="AJ114" i="42"/>
  <c r="AK114" i="42" s="1"/>
  <c r="AH114" i="42"/>
  <c r="AE114" i="42"/>
  <c r="AD114" i="42"/>
  <c r="AB114" i="42"/>
  <c r="U114" i="42"/>
  <c r="V114" i="42" s="1"/>
  <c r="I114" i="42"/>
  <c r="H114" i="42"/>
  <c r="AJ113" i="42"/>
  <c r="AK113" i="42" s="1"/>
  <c r="AH113" i="42"/>
  <c r="AE113" i="42"/>
  <c r="AD113" i="42"/>
  <c r="AB113" i="42"/>
  <c r="U113" i="42"/>
  <c r="V113" i="42" s="1"/>
  <c r="I113" i="42"/>
  <c r="H113" i="42"/>
  <c r="AJ112" i="42"/>
  <c r="AK112" i="42" s="1"/>
  <c r="AH112" i="42"/>
  <c r="AE112" i="42"/>
  <c r="AD112" i="42"/>
  <c r="AB112" i="42"/>
  <c r="U112" i="42"/>
  <c r="V112" i="42" s="1"/>
  <c r="I112" i="42"/>
  <c r="AJ111" i="42"/>
  <c r="AK111" i="42" s="1"/>
  <c r="AH111" i="42"/>
  <c r="AE111" i="42"/>
  <c r="AD111" i="42"/>
  <c r="AB111" i="42"/>
  <c r="U111" i="42"/>
  <c r="V111" i="42" s="1"/>
  <c r="I111" i="42"/>
  <c r="H111" i="42"/>
  <c r="AJ110" i="42"/>
  <c r="AK110" i="42" s="1"/>
  <c r="AH110" i="42"/>
  <c r="AE110" i="42"/>
  <c r="AD110" i="42"/>
  <c r="AB110" i="42"/>
  <c r="U110" i="42"/>
  <c r="V110" i="42" s="1"/>
  <c r="I110" i="42"/>
  <c r="H110" i="42"/>
  <c r="AJ109" i="42"/>
  <c r="AK109" i="42" s="1"/>
  <c r="AH109" i="42"/>
  <c r="AE109" i="42"/>
  <c r="AD109" i="42"/>
  <c r="AB109" i="42"/>
  <c r="U109" i="42"/>
  <c r="V109" i="42" s="1"/>
  <c r="I109" i="42"/>
  <c r="AJ108" i="42"/>
  <c r="AJ107" i="42" s="1"/>
  <c r="AI108" i="42"/>
  <c r="AI107" i="42" s="1"/>
  <c r="AH108" i="42"/>
  <c r="AE108" i="42"/>
  <c r="AD108" i="42"/>
  <c r="AB108" i="42"/>
  <c r="AG107" i="42"/>
  <c r="AF107" i="42"/>
  <c r="AC107" i="42"/>
  <c r="AA107" i="42"/>
  <c r="Z107" i="42"/>
  <c r="Y107" i="42"/>
  <c r="AJ106" i="42"/>
  <c r="AK106" i="42" s="1"/>
  <c r="AH106" i="42"/>
  <c r="AE106" i="42"/>
  <c r="AD106" i="42"/>
  <c r="AB106" i="42"/>
  <c r="U106" i="42"/>
  <c r="V106" i="42" s="1"/>
  <c r="I106" i="42"/>
  <c r="AJ105" i="42"/>
  <c r="AK105" i="42" s="1"/>
  <c r="AH105" i="42"/>
  <c r="AE105" i="42"/>
  <c r="AD105" i="42"/>
  <c r="AB105" i="42"/>
  <c r="U105" i="42"/>
  <c r="V105" i="42" s="1"/>
  <c r="I105" i="42"/>
  <c r="H105" i="42"/>
  <c r="AJ104" i="42"/>
  <c r="AK104" i="42" s="1"/>
  <c r="AH104" i="42"/>
  <c r="AE104" i="42"/>
  <c r="AD104" i="42"/>
  <c r="AB104" i="42"/>
  <c r="U104" i="42"/>
  <c r="V104" i="42" s="1"/>
  <c r="I104" i="42"/>
  <c r="H104" i="42"/>
  <c r="AJ103" i="42"/>
  <c r="AI103" i="42"/>
  <c r="AH103" i="42"/>
  <c r="AE103" i="42"/>
  <c r="AD103" i="42"/>
  <c r="AB103" i="42"/>
  <c r="AJ102" i="42"/>
  <c r="AK102" i="42" s="1"/>
  <c r="AH102" i="42"/>
  <c r="AE102" i="42"/>
  <c r="AD102" i="42"/>
  <c r="AB102" i="42"/>
  <c r="U102" i="42"/>
  <c r="V102" i="42" s="1"/>
  <c r="I102" i="42"/>
  <c r="H102" i="42"/>
  <c r="AJ101" i="42"/>
  <c r="AK101" i="42" s="1"/>
  <c r="AH101" i="42"/>
  <c r="AE101" i="42"/>
  <c r="AD101" i="42"/>
  <c r="AB101" i="42"/>
  <c r="U101" i="42"/>
  <c r="V101" i="42" s="1"/>
  <c r="I101" i="42"/>
  <c r="H101" i="42"/>
  <c r="AJ100" i="42"/>
  <c r="AK100" i="42" s="1"/>
  <c r="AH100" i="42"/>
  <c r="AE100" i="42"/>
  <c r="AD100" i="42"/>
  <c r="AB100" i="42"/>
  <c r="U100" i="42"/>
  <c r="V100" i="42" s="1"/>
  <c r="I100" i="42"/>
  <c r="H100" i="42"/>
  <c r="AJ99" i="42"/>
  <c r="AK99" i="42" s="1"/>
  <c r="AH99" i="42"/>
  <c r="AE99" i="42"/>
  <c r="AD99" i="42"/>
  <c r="AB99" i="42"/>
  <c r="U99" i="42"/>
  <c r="V99" i="42" s="1"/>
  <c r="AJ98" i="42"/>
  <c r="AK98" i="42" s="1"/>
  <c r="AH98" i="42"/>
  <c r="AE98" i="42"/>
  <c r="AD98" i="42"/>
  <c r="AB98" i="42"/>
  <c r="U98" i="42"/>
  <c r="V98" i="42" s="1"/>
  <c r="AJ97" i="42"/>
  <c r="AK97" i="42" s="1"/>
  <c r="AH97" i="42"/>
  <c r="AE97" i="42"/>
  <c r="AD97" i="42"/>
  <c r="AB97" i="42"/>
  <c r="U97" i="42"/>
  <c r="V97" i="42" s="1"/>
  <c r="I97" i="42"/>
  <c r="AJ96" i="42"/>
  <c r="AK96" i="42" s="1"/>
  <c r="AH96" i="42"/>
  <c r="AE96" i="42"/>
  <c r="AD96" i="42"/>
  <c r="AB96" i="42"/>
  <c r="U96" i="42"/>
  <c r="V96" i="42" s="1"/>
  <c r="I96" i="42"/>
  <c r="H96" i="42"/>
  <c r="AJ95" i="42"/>
  <c r="AK95" i="42" s="1"/>
  <c r="AH95" i="42"/>
  <c r="AE95" i="42"/>
  <c r="AD95" i="42"/>
  <c r="AB95" i="42"/>
  <c r="U95" i="42"/>
  <c r="V95" i="42" s="1"/>
  <c r="AJ94" i="42"/>
  <c r="AK94" i="42" s="1"/>
  <c r="AH94" i="42"/>
  <c r="AE94" i="42"/>
  <c r="AD94" i="42"/>
  <c r="AB94" i="42"/>
  <c r="U94" i="42"/>
  <c r="V94" i="42" s="1"/>
  <c r="I94" i="42"/>
  <c r="AJ93" i="42"/>
  <c r="AK93" i="42" s="1"/>
  <c r="AH93" i="42"/>
  <c r="AE93" i="42"/>
  <c r="AD93" i="42"/>
  <c r="AB93" i="42"/>
  <c r="U93" i="42"/>
  <c r="V93" i="42" s="1"/>
  <c r="I93" i="42"/>
  <c r="H93" i="42"/>
  <c r="AJ92" i="42"/>
  <c r="AI92" i="42"/>
  <c r="AH92" i="42"/>
  <c r="AE92" i="42"/>
  <c r="AD92" i="42"/>
  <c r="AB92" i="42"/>
  <c r="AJ91" i="42"/>
  <c r="AK91" i="42" s="1"/>
  <c r="AH91" i="42"/>
  <c r="AE91" i="42"/>
  <c r="AD91" i="42"/>
  <c r="AB91" i="42"/>
  <c r="U91" i="42"/>
  <c r="V91" i="42" s="1"/>
  <c r="I91" i="42"/>
  <c r="H91" i="42"/>
  <c r="AJ90" i="42"/>
  <c r="AK90" i="42" s="1"/>
  <c r="AH90" i="42"/>
  <c r="AE90" i="42"/>
  <c r="AD90" i="42"/>
  <c r="AB90" i="42"/>
  <c r="U90" i="42"/>
  <c r="V90" i="42" s="1"/>
  <c r="I90" i="42"/>
  <c r="AJ89" i="42"/>
  <c r="AK89" i="42" s="1"/>
  <c r="AH89" i="42"/>
  <c r="AE89" i="42"/>
  <c r="AD89" i="42"/>
  <c r="AB89" i="42"/>
  <c r="U89" i="42"/>
  <c r="V89" i="42" s="1"/>
  <c r="I89" i="42"/>
  <c r="AJ88" i="42"/>
  <c r="AK88" i="42" s="1"/>
  <c r="AH88" i="42"/>
  <c r="AE88" i="42"/>
  <c r="AD88" i="42"/>
  <c r="AB88" i="42"/>
  <c r="U88" i="42"/>
  <c r="V88" i="42" s="1"/>
  <c r="I88" i="42"/>
  <c r="H88" i="42"/>
  <c r="AJ87" i="42"/>
  <c r="AI87" i="42"/>
  <c r="AH87" i="42"/>
  <c r="AE87" i="42"/>
  <c r="AD87" i="42"/>
  <c r="AB87" i="42"/>
  <c r="AJ86" i="42"/>
  <c r="AK86" i="42" s="1"/>
  <c r="AH86" i="42"/>
  <c r="AE86" i="42"/>
  <c r="AD86" i="42"/>
  <c r="AB86" i="42"/>
  <c r="U86" i="42"/>
  <c r="V86" i="42" s="1"/>
  <c r="I86" i="42"/>
  <c r="H86" i="42"/>
  <c r="AJ85" i="42"/>
  <c r="AK85" i="42" s="1"/>
  <c r="AH85" i="42"/>
  <c r="AE85" i="42"/>
  <c r="AD85" i="42"/>
  <c r="AB85" i="42"/>
  <c r="U85" i="42"/>
  <c r="V85" i="42" s="1"/>
  <c r="I85" i="42"/>
  <c r="AJ84" i="42"/>
  <c r="AK84" i="42" s="1"/>
  <c r="AH84" i="42"/>
  <c r="AE84" i="42"/>
  <c r="AD84" i="42"/>
  <c r="AB84" i="42"/>
  <c r="U84" i="42"/>
  <c r="V84" i="42" s="1"/>
  <c r="I84" i="42"/>
  <c r="AJ83" i="42"/>
  <c r="AK83" i="42" s="1"/>
  <c r="AH83" i="42"/>
  <c r="AE83" i="42"/>
  <c r="AD83" i="42"/>
  <c r="AB83" i="42"/>
  <c r="U83" i="42"/>
  <c r="V83" i="42" s="1"/>
  <c r="I83" i="42"/>
  <c r="AJ82" i="42"/>
  <c r="AK82" i="42" s="1"/>
  <c r="AH82" i="42"/>
  <c r="AE82" i="42"/>
  <c r="AD82" i="42"/>
  <c r="AB82" i="42"/>
  <c r="U82" i="42"/>
  <c r="V82" i="42" s="1"/>
  <c r="H82" i="42"/>
  <c r="AJ81" i="42"/>
  <c r="AK81" i="42" s="1"/>
  <c r="AH81" i="42"/>
  <c r="AE81" i="42"/>
  <c r="AD81" i="42"/>
  <c r="AB81" i="42"/>
  <c r="U81" i="42"/>
  <c r="V81" i="42" s="1"/>
  <c r="I81" i="42"/>
  <c r="AJ80" i="42"/>
  <c r="AK80" i="42" s="1"/>
  <c r="AH80" i="42"/>
  <c r="AE80" i="42"/>
  <c r="AD80" i="42"/>
  <c r="AB80" i="42"/>
  <c r="U80" i="42"/>
  <c r="V80" i="42" s="1"/>
  <c r="I80" i="42"/>
  <c r="H80" i="42"/>
  <c r="AJ79" i="42"/>
  <c r="AK79" i="42" s="1"/>
  <c r="AH79" i="42"/>
  <c r="AE79" i="42"/>
  <c r="AD79" i="42"/>
  <c r="AB79" i="42"/>
  <c r="U79" i="42"/>
  <c r="V79" i="42" s="1"/>
  <c r="I79" i="42"/>
  <c r="H79" i="42"/>
  <c r="AJ78" i="42"/>
  <c r="AI78" i="42"/>
  <c r="AH78" i="42"/>
  <c r="AE78" i="42"/>
  <c r="AD78" i="42"/>
  <c r="AB78" i="42"/>
  <c r="AJ77" i="42"/>
  <c r="AK77" i="42" s="1"/>
  <c r="AH77" i="42"/>
  <c r="AE77" i="42"/>
  <c r="AD77" i="42"/>
  <c r="AB77" i="42"/>
  <c r="U77" i="42"/>
  <c r="V77" i="42" s="1"/>
  <c r="I77" i="42"/>
  <c r="AJ76" i="42"/>
  <c r="AK76" i="42" s="1"/>
  <c r="AH76" i="42"/>
  <c r="AE76" i="42"/>
  <c r="AD76" i="42"/>
  <c r="AB76" i="42"/>
  <c r="U76" i="42"/>
  <c r="V76" i="42" s="1"/>
  <c r="I76" i="42"/>
  <c r="AJ75" i="42"/>
  <c r="AK75" i="42" s="1"/>
  <c r="AH75" i="42"/>
  <c r="AE75" i="42"/>
  <c r="AD75" i="42"/>
  <c r="AB75" i="42"/>
  <c r="U75" i="42"/>
  <c r="V75" i="42" s="1"/>
  <c r="I75" i="42"/>
  <c r="H75" i="42"/>
  <c r="AJ74" i="42"/>
  <c r="AK74" i="42" s="1"/>
  <c r="AH74" i="42"/>
  <c r="AE74" i="42"/>
  <c r="AD74" i="42"/>
  <c r="AB74" i="42"/>
  <c r="U74" i="42"/>
  <c r="V74" i="42" s="1"/>
  <c r="I74" i="42"/>
  <c r="H74" i="42"/>
  <c r="AJ73" i="42"/>
  <c r="AI73" i="42"/>
  <c r="AH73" i="42"/>
  <c r="AE73" i="42"/>
  <c r="AD73" i="42"/>
  <c r="AB73" i="42"/>
  <c r="AJ72" i="42"/>
  <c r="AK72" i="42" s="1"/>
  <c r="AH72" i="42"/>
  <c r="AE72" i="42"/>
  <c r="AD72" i="42"/>
  <c r="AB72" i="42"/>
  <c r="U72" i="42"/>
  <c r="V72" i="42" s="1"/>
  <c r="I72" i="42"/>
  <c r="AJ71" i="42"/>
  <c r="AK71" i="42" s="1"/>
  <c r="AH71" i="42"/>
  <c r="AE71" i="42"/>
  <c r="AD71" i="42"/>
  <c r="AB71" i="42"/>
  <c r="U71" i="42"/>
  <c r="V71" i="42" s="1"/>
  <c r="I71" i="42"/>
  <c r="AJ70" i="42"/>
  <c r="AK70" i="42" s="1"/>
  <c r="AH70" i="42"/>
  <c r="AE70" i="42"/>
  <c r="AD70" i="42"/>
  <c r="AB70" i="42"/>
  <c r="U70" i="42"/>
  <c r="V70" i="42" s="1"/>
  <c r="I70" i="42"/>
  <c r="AJ69" i="42"/>
  <c r="AK69" i="42" s="1"/>
  <c r="AH69" i="42"/>
  <c r="AE69" i="42"/>
  <c r="AD69" i="42"/>
  <c r="AB69" i="42"/>
  <c r="U69" i="42"/>
  <c r="V69" i="42" s="1"/>
  <c r="I69" i="42"/>
  <c r="H69" i="42"/>
  <c r="H68" i="42" s="1"/>
  <c r="AJ68" i="42"/>
  <c r="AI68" i="42"/>
  <c r="AH68" i="42"/>
  <c r="AE68" i="42"/>
  <c r="AD68" i="42"/>
  <c r="AB68" i="42"/>
  <c r="AG67" i="42"/>
  <c r="AF67" i="42"/>
  <c r="AC67" i="42"/>
  <c r="AA67" i="42"/>
  <c r="Z67" i="42"/>
  <c r="Y67" i="42"/>
  <c r="AJ65" i="42"/>
  <c r="AK65" i="42" s="1"/>
  <c r="AH65" i="42"/>
  <c r="AE65" i="42"/>
  <c r="AD65" i="42"/>
  <c r="AB65" i="42"/>
  <c r="U65" i="42"/>
  <c r="V65" i="42" s="1"/>
  <c r="I65" i="42"/>
  <c r="AJ64" i="42"/>
  <c r="AK64" i="42" s="1"/>
  <c r="AH64" i="42"/>
  <c r="AE64" i="42"/>
  <c r="AD64" i="42"/>
  <c r="AB64" i="42"/>
  <c r="U64" i="42"/>
  <c r="V64" i="42" s="1"/>
  <c r="I64" i="42"/>
  <c r="AJ63" i="42"/>
  <c r="AK63" i="42" s="1"/>
  <c r="AH63" i="42"/>
  <c r="AE63" i="42"/>
  <c r="AD63" i="42"/>
  <c r="AB63" i="42"/>
  <c r="U63" i="42"/>
  <c r="V63" i="42" s="1"/>
  <c r="I63" i="42"/>
  <c r="H63" i="42"/>
  <c r="AJ62" i="42"/>
  <c r="AK62" i="42" s="1"/>
  <c r="AH62" i="42"/>
  <c r="AE62" i="42"/>
  <c r="AD62" i="42"/>
  <c r="AB62" i="42"/>
  <c r="U62" i="42"/>
  <c r="V62" i="42" s="1"/>
  <c r="I62" i="42"/>
  <c r="H62" i="42"/>
  <c r="AI61" i="42"/>
  <c r="AH61" i="42"/>
  <c r="AE61" i="42"/>
  <c r="AD61" i="42"/>
  <c r="AB61" i="42"/>
  <c r="AJ60" i="42"/>
  <c r="AK60" i="42" s="1"/>
  <c r="AH60" i="42"/>
  <c r="AE60" i="42"/>
  <c r="AD60" i="42"/>
  <c r="AB60" i="42"/>
  <c r="U60" i="42"/>
  <c r="V60" i="42" s="1"/>
  <c r="AJ59" i="42"/>
  <c r="AK59" i="42" s="1"/>
  <c r="AH59" i="42"/>
  <c r="AE59" i="42"/>
  <c r="AD59" i="42"/>
  <c r="AB59" i="42"/>
  <c r="U59" i="42"/>
  <c r="V59" i="42" s="1"/>
  <c r="I59" i="42"/>
  <c r="AJ58" i="42"/>
  <c r="AK58" i="42" s="1"/>
  <c r="AH58" i="42"/>
  <c r="AE58" i="42"/>
  <c r="AD58" i="42"/>
  <c r="AB58" i="42"/>
  <c r="U58" i="42"/>
  <c r="V58" i="42" s="1"/>
  <c r="I58" i="42"/>
  <c r="H58" i="42"/>
  <c r="H57" i="42" s="1"/>
  <c r="AI57" i="42"/>
  <c r="AH57" i="42"/>
  <c r="AE57" i="42"/>
  <c r="AD57" i="42"/>
  <c r="AB57" i="42"/>
  <c r="Z57" i="42"/>
  <c r="Z52" i="42" s="1"/>
  <c r="AJ56" i="42"/>
  <c r="AK56" i="42" s="1"/>
  <c r="AH56" i="42"/>
  <c r="AE56" i="42"/>
  <c r="AD56" i="42"/>
  <c r="AB56" i="42"/>
  <c r="U56" i="42"/>
  <c r="V56" i="42" s="1"/>
  <c r="I56" i="42"/>
  <c r="H56" i="42"/>
  <c r="AJ55" i="42"/>
  <c r="AK55" i="42" s="1"/>
  <c r="AH55" i="42"/>
  <c r="AE55" i="42"/>
  <c r="AD55" i="42"/>
  <c r="AB55" i="42"/>
  <c r="U55" i="42"/>
  <c r="V55" i="42" s="1"/>
  <c r="I55" i="42"/>
  <c r="AJ54" i="42"/>
  <c r="AK54" i="42" s="1"/>
  <c r="AH54" i="42"/>
  <c r="AE54" i="42"/>
  <c r="AD54" i="42"/>
  <c r="AB54" i="42"/>
  <c r="U54" i="42"/>
  <c r="V54" i="42" s="1"/>
  <c r="I54" i="42"/>
  <c r="H54" i="42"/>
  <c r="AJ53" i="42"/>
  <c r="AI53" i="42"/>
  <c r="AH53" i="42"/>
  <c r="AE53" i="42"/>
  <c r="AD53" i="42"/>
  <c r="AB53" i="42"/>
  <c r="G53" i="42"/>
  <c r="AG52" i="42"/>
  <c r="AF52" i="42"/>
  <c r="AC52" i="42"/>
  <c r="AA52" i="42"/>
  <c r="Y52" i="42"/>
  <c r="AJ51" i="42"/>
  <c r="AK51" i="42" s="1"/>
  <c r="AH51" i="42"/>
  <c r="AE51" i="42"/>
  <c r="AD51" i="42"/>
  <c r="AB51" i="42"/>
  <c r="U51" i="42"/>
  <c r="V51" i="42" s="1"/>
  <c r="I51" i="42"/>
  <c r="H51" i="42"/>
  <c r="AJ50" i="42"/>
  <c r="AK50" i="42" s="1"/>
  <c r="AH50" i="42"/>
  <c r="AE50" i="42"/>
  <c r="AD50" i="42"/>
  <c r="AB50" i="42"/>
  <c r="U50" i="42"/>
  <c r="V50" i="42" s="1"/>
  <c r="I50" i="42"/>
  <c r="H50" i="42"/>
  <c r="AJ49" i="42"/>
  <c r="AK49" i="42" s="1"/>
  <c r="AH49" i="42"/>
  <c r="AE49" i="42"/>
  <c r="AD49" i="42"/>
  <c r="AB49" i="42"/>
  <c r="U49" i="42"/>
  <c r="V49" i="42" s="1"/>
  <c r="I49" i="42"/>
  <c r="H49" i="42"/>
  <c r="AJ48" i="42"/>
  <c r="AK48" i="42" s="1"/>
  <c r="AH48" i="42"/>
  <c r="AE48" i="42"/>
  <c r="AD48" i="42"/>
  <c r="AB48" i="42"/>
  <c r="U48" i="42"/>
  <c r="V48" i="42" s="1"/>
  <c r="I48" i="42"/>
  <c r="AJ47" i="42"/>
  <c r="AK47" i="42" s="1"/>
  <c r="AH47" i="42"/>
  <c r="AE47" i="42"/>
  <c r="AD47" i="42"/>
  <c r="AB47" i="42"/>
  <c r="U47" i="42"/>
  <c r="V47" i="42" s="1"/>
  <c r="I47" i="42"/>
  <c r="AJ46" i="42"/>
  <c r="AK46" i="42" s="1"/>
  <c r="AH46" i="42"/>
  <c r="AE46" i="42"/>
  <c r="AD46" i="42"/>
  <c r="AB46" i="42"/>
  <c r="U46" i="42"/>
  <c r="V46" i="42" s="1"/>
  <c r="I46" i="42"/>
  <c r="H46" i="42"/>
  <c r="AJ45" i="42"/>
  <c r="AK45" i="42" s="1"/>
  <c r="AH45" i="42"/>
  <c r="AE45" i="42"/>
  <c r="AD45" i="42"/>
  <c r="AB45" i="42"/>
  <c r="U45" i="42"/>
  <c r="V45" i="42" s="1"/>
  <c r="I45" i="42"/>
  <c r="AJ44" i="42"/>
  <c r="AK44" i="42" s="1"/>
  <c r="AH44" i="42"/>
  <c r="AE44" i="42"/>
  <c r="AD44" i="42"/>
  <c r="AB44" i="42"/>
  <c r="U44" i="42"/>
  <c r="V44" i="42" s="1"/>
  <c r="I44" i="42"/>
  <c r="H44" i="42"/>
  <c r="AJ43" i="42"/>
  <c r="AK43" i="42" s="1"/>
  <c r="AH43" i="42"/>
  <c r="AE43" i="42"/>
  <c r="AD43" i="42"/>
  <c r="AB43" i="42"/>
  <c r="U43" i="42"/>
  <c r="V43" i="42" s="1"/>
  <c r="H43" i="42"/>
  <c r="AJ42" i="42"/>
  <c r="AI42" i="42"/>
  <c r="AH42" i="42"/>
  <c r="AE42" i="42"/>
  <c r="AD42" i="42"/>
  <c r="AB42" i="42"/>
  <c r="AJ41" i="42"/>
  <c r="AK41" i="42" s="1"/>
  <c r="AH41" i="42"/>
  <c r="AE41" i="42"/>
  <c r="AD41" i="42"/>
  <c r="AB41" i="42"/>
  <c r="U41" i="42"/>
  <c r="V41" i="42" s="1"/>
  <c r="I41" i="42"/>
  <c r="H41" i="42"/>
  <c r="AJ40" i="42"/>
  <c r="AK40" i="42" s="1"/>
  <c r="AH40" i="42"/>
  <c r="AE40" i="42"/>
  <c r="AD40" i="42"/>
  <c r="AB40" i="42"/>
  <c r="U40" i="42"/>
  <c r="V40" i="42" s="1"/>
  <c r="I40" i="42"/>
  <c r="H40" i="42"/>
  <c r="AJ39" i="42"/>
  <c r="AK39" i="42" s="1"/>
  <c r="AH39" i="42"/>
  <c r="AE39" i="42"/>
  <c r="AD39" i="42"/>
  <c r="AB39" i="42"/>
  <c r="U39" i="42"/>
  <c r="V39" i="42" s="1"/>
  <c r="I39" i="42"/>
  <c r="H39" i="42"/>
  <c r="AJ38" i="42"/>
  <c r="AK38" i="42" s="1"/>
  <c r="AH38" i="42"/>
  <c r="AE38" i="42"/>
  <c r="AD38" i="42"/>
  <c r="AB38" i="42"/>
  <c r="U38" i="42"/>
  <c r="V38" i="42" s="1"/>
  <c r="I38" i="42"/>
  <c r="AJ37" i="42"/>
  <c r="AK37" i="42" s="1"/>
  <c r="AH37" i="42"/>
  <c r="AE37" i="42"/>
  <c r="AD37" i="42"/>
  <c r="AB37" i="42"/>
  <c r="U37" i="42"/>
  <c r="V37" i="42" s="1"/>
  <c r="I37" i="42"/>
  <c r="H37" i="42"/>
  <c r="AJ36" i="42"/>
  <c r="AI36" i="42"/>
  <c r="AH36" i="42"/>
  <c r="AE36" i="42"/>
  <c r="AD36" i="42"/>
  <c r="AB36" i="42"/>
  <c r="AJ35" i="42"/>
  <c r="AK35" i="42" s="1"/>
  <c r="AH35" i="42"/>
  <c r="AE35" i="42"/>
  <c r="AD35" i="42"/>
  <c r="AB35" i="42"/>
  <c r="U35" i="42"/>
  <c r="V35" i="42" s="1"/>
  <c r="I35" i="42"/>
  <c r="H35" i="42"/>
  <c r="AJ34" i="42"/>
  <c r="AK34" i="42" s="1"/>
  <c r="AH34" i="42"/>
  <c r="AE34" i="42"/>
  <c r="AD34" i="42"/>
  <c r="AB34" i="42"/>
  <c r="U34" i="42"/>
  <c r="V34" i="42" s="1"/>
  <c r="I34" i="42"/>
  <c r="H34" i="42"/>
  <c r="H30" i="42" s="1"/>
  <c r="AJ33" i="42"/>
  <c r="AK33" i="42" s="1"/>
  <c r="AH33" i="42"/>
  <c r="AE33" i="42"/>
  <c r="AD33" i="42"/>
  <c r="AB33" i="42"/>
  <c r="U33" i="42"/>
  <c r="V33" i="42" s="1"/>
  <c r="AJ32" i="42"/>
  <c r="AK32" i="42" s="1"/>
  <c r="AH32" i="42"/>
  <c r="AE32" i="42"/>
  <c r="AD32" i="42"/>
  <c r="AB32" i="42"/>
  <c r="U32" i="42"/>
  <c r="V32" i="42" s="1"/>
  <c r="I32" i="42"/>
  <c r="AJ31" i="42"/>
  <c r="AK31" i="42" s="1"/>
  <c r="AH31" i="42"/>
  <c r="AE31" i="42"/>
  <c r="AD31" i="42"/>
  <c r="AB31" i="42"/>
  <c r="U31" i="42"/>
  <c r="V31" i="42" s="1"/>
  <c r="I31" i="42"/>
  <c r="AI30" i="42"/>
  <c r="AH30" i="42"/>
  <c r="AE30" i="42"/>
  <c r="AD30" i="42"/>
  <c r="AB30" i="42"/>
  <c r="Z30" i="42"/>
  <c r="Z9" i="42" s="1"/>
  <c r="AJ29" i="42"/>
  <c r="AK29" i="42" s="1"/>
  <c r="AH29" i="42"/>
  <c r="AE29" i="42"/>
  <c r="AD29" i="42"/>
  <c r="AB29" i="42"/>
  <c r="U29" i="42"/>
  <c r="V29" i="42" s="1"/>
  <c r="I29" i="42"/>
  <c r="H29" i="42"/>
  <c r="AJ28" i="42"/>
  <c r="AK28" i="42" s="1"/>
  <c r="AH28" i="42"/>
  <c r="AE28" i="42"/>
  <c r="AD28" i="42"/>
  <c r="AB28" i="42"/>
  <c r="U28" i="42"/>
  <c r="V28" i="42" s="1"/>
  <c r="I28" i="42"/>
  <c r="AJ27" i="42"/>
  <c r="AK27" i="42" s="1"/>
  <c r="AH27" i="42"/>
  <c r="AE27" i="42"/>
  <c r="AD27" i="42"/>
  <c r="AB27" i="42"/>
  <c r="U27" i="42"/>
  <c r="V27" i="42" s="1"/>
  <c r="I27" i="42"/>
  <c r="AJ26" i="42"/>
  <c r="AK26" i="42" s="1"/>
  <c r="AH26" i="42"/>
  <c r="AE26" i="42"/>
  <c r="AD26" i="42"/>
  <c r="AB26" i="42"/>
  <c r="U26" i="42"/>
  <c r="V26" i="42" s="1"/>
  <c r="I26" i="42"/>
  <c r="H26" i="42"/>
  <c r="AJ25" i="42"/>
  <c r="AK25" i="42" s="1"/>
  <c r="AH25" i="42"/>
  <c r="AE25" i="42"/>
  <c r="AD25" i="42"/>
  <c r="AB25" i="42"/>
  <c r="U25" i="42"/>
  <c r="V25" i="42" s="1"/>
  <c r="I25" i="42"/>
  <c r="H25" i="42"/>
  <c r="AJ24" i="42"/>
  <c r="AK24" i="42" s="1"/>
  <c r="AH24" i="42"/>
  <c r="AE24" i="42"/>
  <c r="AD24" i="42"/>
  <c r="AB24" i="42"/>
  <c r="U24" i="42"/>
  <c r="V24" i="42" s="1"/>
  <c r="I24" i="42"/>
  <c r="AJ23" i="42"/>
  <c r="AK23" i="42" s="1"/>
  <c r="AH23" i="42"/>
  <c r="AE23" i="42"/>
  <c r="AD23" i="42"/>
  <c r="AB23" i="42"/>
  <c r="U23" i="42"/>
  <c r="V23" i="42" s="1"/>
  <c r="I23" i="42"/>
  <c r="H23" i="42"/>
  <c r="AI22" i="42"/>
  <c r="AH22" i="42"/>
  <c r="AE22" i="42"/>
  <c r="AD22" i="42"/>
  <c r="AB22" i="42"/>
  <c r="AJ21" i="42"/>
  <c r="AK21" i="42" s="1"/>
  <c r="AE21" i="42"/>
  <c r="AD21" i="42"/>
  <c r="AB21" i="42"/>
  <c r="U21" i="42"/>
  <c r="V21" i="42" s="1"/>
  <c r="I21" i="42"/>
  <c r="AJ20" i="42"/>
  <c r="AK20" i="42" s="1"/>
  <c r="AE20" i="42"/>
  <c r="AD20" i="42"/>
  <c r="AB20" i="42"/>
  <c r="U20" i="42"/>
  <c r="V20" i="42" s="1"/>
  <c r="I20" i="42"/>
  <c r="H20" i="42"/>
  <c r="AJ19" i="42"/>
  <c r="AK19" i="42" s="1"/>
  <c r="AE19" i="42"/>
  <c r="AD19" i="42"/>
  <c r="AB19" i="42"/>
  <c r="U19" i="42"/>
  <c r="V19" i="42" s="1"/>
  <c r="I19" i="42"/>
  <c r="H19" i="42"/>
  <c r="AJ18" i="42"/>
  <c r="AI18" i="42"/>
  <c r="AH18" i="42"/>
  <c r="AE18" i="42"/>
  <c r="AD18" i="42"/>
  <c r="AB18" i="42"/>
  <c r="AJ17" i="42"/>
  <c r="AK17" i="42" s="1"/>
  <c r="AE17" i="42"/>
  <c r="AD17" i="42"/>
  <c r="AB17" i="42"/>
  <c r="U17" i="42"/>
  <c r="V17" i="42" s="1"/>
  <c r="I17" i="42"/>
  <c r="H17" i="42"/>
  <c r="AJ16" i="42"/>
  <c r="AK16" i="42" s="1"/>
  <c r="AE16" i="42"/>
  <c r="AD16" i="42"/>
  <c r="AB16" i="42"/>
  <c r="U16" i="42"/>
  <c r="V16" i="42" s="1"/>
  <c r="I16" i="42"/>
  <c r="H16" i="42"/>
  <c r="AJ15" i="42"/>
  <c r="AK15" i="42" s="1"/>
  <c r="AE15" i="42"/>
  <c r="AD15" i="42"/>
  <c r="AB15" i="42"/>
  <c r="U15" i="42"/>
  <c r="V15" i="42" s="1"/>
  <c r="I15" i="42"/>
  <c r="AJ14" i="42"/>
  <c r="AK14" i="42" s="1"/>
  <c r="AE14" i="42"/>
  <c r="AD14" i="42"/>
  <c r="AB14" i="42"/>
  <c r="U14" i="42"/>
  <c r="V14" i="42" s="1"/>
  <c r="I14" i="42"/>
  <c r="AJ13" i="42"/>
  <c r="AK13" i="42" s="1"/>
  <c r="AE13" i="42"/>
  <c r="AD13" i="42"/>
  <c r="AB13" i="42"/>
  <c r="U13" i="42"/>
  <c r="V13" i="42" s="1"/>
  <c r="I13" i="42"/>
  <c r="H13" i="42"/>
  <c r="AJ12" i="42"/>
  <c r="AK12" i="42" s="1"/>
  <c r="AE12" i="42"/>
  <c r="AD12" i="42"/>
  <c r="AB12" i="42"/>
  <c r="U12" i="42"/>
  <c r="V12" i="42" s="1"/>
  <c r="I12" i="42"/>
  <c r="H12" i="42"/>
  <c r="AJ11" i="42"/>
  <c r="AK11" i="42" s="1"/>
  <c r="AE11" i="42"/>
  <c r="AD11" i="42"/>
  <c r="AB11" i="42"/>
  <c r="U11" i="42"/>
  <c r="V11" i="42" s="1"/>
  <c r="I11" i="42"/>
  <c r="H11" i="42"/>
  <c r="AJ10" i="42"/>
  <c r="AI10" i="42"/>
  <c r="AH10" i="42"/>
  <c r="AE10" i="42"/>
  <c r="AD10" i="42"/>
  <c r="AB10" i="42"/>
  <c r="AG9" i="42"/>
  <c r="AF9" i="42"/>
  <c r="AC9" i="42"/>
  <c r="AA9" i="42"/>
  <c r="Y9" i="42"/>
  <c r="G39" i="21"/>
  <c r="I87" i="42" l="1"/>
  <c r="Y158" i="42"/>
  <c r="AI210" i="42"/>
  <c r="H218" i="42"/>
  <c r="K130" i="43"/>
  <c r="L127" i="43"/>
  <c r="AA66" i="42"/>
  <c r="I131" i="42"/>
  <c r="AB159" i="42"/>
  <c r="AI52" i="42"/>
  <c r="AK185" i="42"/>
  <c r="AE210" i="42"/>
  <c r="V218" i="42"/>
  <c r="AK78" i="42"/>
  <c r="AK103" i="42"/>
  <c r="H18" i="42"/>
  <c r="I53" i="42"/>
  <c r="AH140" i="42"/>
  <c r="AK53" i="42"/>
  <c r="Y66" i="42"/>
  <c r="AB66" i="42" s="1"/>
  <c r="AA8" i="42"/>
  <c r="AK68" i="42"/>
  <c r="I73" i="42"/>
  <c r="AC158" i="42"/>
  <c r="AD158" i="42" s="1"/>
  <c r="I201" i="42"/>
  <c r="AD210" i="42"/>
  <c r="I68" i="42"/>
  <c r="V103" i="42"/>
  <c r="V136" i="42"/>
  <c r="V154" i="42"/>
  <c r="V201" i="42"/>
  <c r="AB9" i="42"/>
  <c r="AG8" i="42"/>
  <c r="I10" i="42"/>
  <c r="AJ30" i="42"/>
  <c r="AK30" i="42" s="1"/>
  <c r="I36" i="42"/>
  <c r="Z66" i="42"/>
  <c r="AG66" i="42"/>
  <c r="AK136" i="42"/>
  <c r="AH159" i="42"/>
  <c r="AK201" i="42"/>
  <c r="AH210" i="42"/>
  <c r="AK218" i="42"/>
  <c r="V10" i="42"/>
  <c r="AD9" i="42"/>
  <c r="AK10" i="42"/>
  <c r="I42" i="42"/>
  <c r="AK87" i="42"/>
  <c r="AC66" i="42"/>
  <c r="AE66" i="42" s="1"/>
  <c r="AK107" i="42"/>
  <c r="AK147" i="42"/>
  <c r="AK154" i="42"/>
  <c r="AG158" i="42"/>
  <c r="AD159" i="42"/>
  <c r="H36" i="42"/>
  <c r="H53" i="42"/>
  <c r="AK92" i="42"/>
  <c r="H10" i="42"/>
  <c r="I30" i="42"/>
  <c r="AK36" i="42"/>
  <c r="AE67" i="42"/>
  <c r="AI67" i="42"/>
  <c r="AI66" i="42" s="1"/>
  <c r="H87" i="42"/>
  <c r="I103" i="42"/>
  <c r="AB107" i="42"/>
  <c r="AG124" i="42"/>
  <c r="AH124" i="42" s="1"/>
  <c r="I154" i="42"/>
  <c r="AF158" i="42"/>
  <c r="H160" i="42"/>
  <c r="H174" i="42"/>
  <c r="Z158" i="42"/>
  <c r="V53" i="42"/>
  <c r="AH9" i="42"/>
  <c r="I18" i="42"/>
  <c r="I22" i="42"/>
  <c r="AE52" i="42"/>
  <c r="AJ57" i="42"/>
  <c r="V61" i="42"/>
  <c r="I61" i="42"/>
  <c r="AK73" i="42"/>
  <c r="I78" i="42"/>
  <c r="I92" i="42"/>
  <c r="AH107" i="42"/>
  <c r="P124" i="42"/>
  <c r="H126" i="42"/>
  <c r="AG139" i="42"/>
  <c r="AH139" i="42" s="1"/>
  <c r="I174" i="42"/>
  <c r="AI159" i="42"/>
  <c r="AI158" i="42" s="1"/>
  <c r="AB210" i="42"/>
  <c r="H211" i="42"/>
  <c r="H22" i="42"/>
  <c r="H61" i="42"/>
  <c r="V73" i="42"/>
  <c r="H78" i="42"/>
  <c r="AF66" i="42"/>
  <c r="H141" i="42"/>
  <c r="H140" i="42" s="1"/>
  <c r="H139" i="42" s="1"/>
  <c r="V160" i="42"/>
  <c r="V185" i="42"/>
  <c r="AC8" i="42"/>
  <c r="AI9" i="42"/>
  <c r="V18" i="42"/>
  <c r="V22" i="42"/>
  <c r="Z8" i="42"/>
  <c r="AK42" i="42"/>
  <c r="Y8" i="42"/>
  <c r="AB8" i="42" s="1"/>
  <c r="AF8" i="42"/>
  <c r="I57" i="42"/>
  <c r="AJ61" i="42"/>
  <c r="AK61" i="42" s="1"/>
  <c r="H73" i="42"/>
  <c r="V78" i="42"/>
  <c r="V92" i="42"/>
  <c r="H103" i="42"/>
  <c r="AE107" i="42"/>
  <c r="I108" i="42"/>
  <c r="I107" i="42" s="1"/>
  <c r="H108" i="42"/>
  <c r="H107" i="42" s="1"/>
  <c r="AH125" i="42"/>
  <c r="R124" i="42" s="1"/>
  <c r="V131" i="42"/>
  <c r="AI140" i="42"/>
  <c r="AI139" i="42" s="1"/>
  <c r="I147" i="42"/>
  <c r="V174" i="42"/>
  <c r="H205" i="42"/>
  <c r="H92" i="42"/>
  <c r="AD107" i="42"/>
  <c r="V147" i="42"/>
  <c r="AA158" i="42"/>
  <c r="AA223" i="42" s="1"/>
  <c r="AE159" i="42"/>
  <c r="I185" i="42"/>
  <c r="H201" i="42"/>
  <c r="I205" i="42"/>
  <c r="I211" i="42"/>
  <c r="I210" i="42" s="1"/>
  <c r="J130" i="43"/>
  <c r="I129" i="43"/>
  <c r="V30" i="42"/>
  <c r="V57" i="42"/>
  <c r="V36" i="42"/>
  <c r="V42" i="42"/>
  <c r="AC124" i="42"/>
  <c r="AE124" i="42" s="1"/>
  <c r="AD125" i="42"/>
  <c r="N124" i="42" s="1"/>
  <c r="AC139" i="42"/>
  <c r="AD139" i="42" s="1"/>
  <c r="AD140" i="42"/>
  <c r="AK18" i="42"/>
  <c r="AD67" i="42"/>
  <c r="AJ125" i="42"/>
  <c r="AK126" i="42"/>
  <c r="AJ140" i="42"/>
  <c r="AK141" i="42"/>
  <c r="V193" i="42"/>
  <c r="AH67" i="42"/>
  <c r="AK160" i="42"/>
  <c r="AE9" i="42"/>
  <c r="AJ22" i="42"/>
  <c r="AK22" i="42" s="1"/>
  <c r="AB52" i="42"/>
  <c r="AH52" i="42"/>
  <c r="I160" i="42"/>
  <c r="AJ205" i="42"/>
  <c r="AK205" i="42" s="1"/>
  <c r="AK207" i="42"/>
  <c r="V68" i="42"/>
  <c r="V108" i="42"/>
  <c r="V107" i="42" s="1"/>
  <c r="H42" i="42"/>
  <c r="AD52" i="42"/>
  <c r="AB67" i="42"/>
  <c r="AJ67" i="42"/>
  <c r="V87" i="42"/>
  <c r="AK108" i="42"/>
  <c r="M124" i="42"/>
  <c r="AB139" i="42"/>
  <c r="AK193" i="42"/>
  <c r="AK210" i="42"/>
  <c r="V211" i="42"/>
  <c r="V210" i="42" s="1"/>
  <c r="Z125" i="42"/>
  <c r="Z124" i="42" s="1"/>
  <c r="I126" i="42"/>
  <c r="AK131" i="42"/>
  <c r="I141" i="42"/>
  <c r="AK174" i="42"/>
  <c r="H185" i="42"/>
  <c r="I193" i="42"/>
  <c r="AK211" i="42"/>
  <c r="Y124" i="42"/>
  <c r="AB125" i="42"/>
  <c r="L124" i="42" s="1"/>
  <c r="AI125" i="42"/>
  <c r="AI124" i="42" s="1"/>
  <c r="V126" i="42"/>
  <c r="H131" i="42"/>
  <c r="AB140" i="42"/>
  <c r="V141" i="42"/>
  <c r="AE125" i="42"/>
  <c r="O124" i="42" s="1"/>
  <c r="AE140" i="42"/>
  <c r="K124" i="42"/>
  <c r="I125" i="42" l="1"/>
  <c r="I124" i="42" s="1"/>
  <c r="H210" i="42"/>
  <c r="L121" i="43"/>
  <c r="K129" i="43"/>
  <c r="AI8" i="42"/>
  <c r="AH158" i="42"/>
  <c r="AD66" i="42"/>
  <c r="I52" i="42"/>
  <c r="AE8" i="42"/>
  <c r="AH8" i="42"/>
  <c r="AE139" i="42"/>
  <c r="H125" i="42"/>
  <c r="H124" i="42" s="1"/>
  <c r="V52" i="42"/>
  <c r="AH66" i="42"/>
  <c r="H52" i="42"/>
  <c r="V140" i="42"/>
  <c r="V139" i="42" s="1"/>
  <c r="AI223" i="42"/>
  <c r="AD8" i="42"/>
  <c r="H159" i="42"/>
  <c r="H158" i="42" s="1"/>
  <c r="AF223" i="42"/>
  <c r="Z223" i="42"/>
  <c r="H9" i="42"/>
  <c r="H67" i="42"/>
  <c r="H66" i="42" s="1"/>
  <c r="V9" i="42"/>
  <c r="V159" i="42"/>
  <c r="V158" i="42" s="1"/>
  <c r="I9" i="42"/>
  <c r="AC223" i="42"/>
  <c r="AE223" i="42" s="1"/>
  <c r="I140" i="42"/>
  <c r="I139" i="42" s="1"/>
  <c r="Y223" i="42"/>
  <c r="AB223" i="42" s="1"/>
  <c r="I67" i="42"/>
  <c r="I66" i="42" s="1"/>
  <c r="AK57" i="42"/>
  <c r="AJ52" i="42"/>
  <c r="AK52" i="42" s="1"/>
  <c r="AB158" i="42"/>
  <c r="AE158" i="42"/>
  <c r="V125" i="42"/>
  <c r="V124" i="42" s="1"/>
  <c r="AG223" i="42"/>
  <c r="AH223" i="42" s="1"/>
  <c r="AJ159" i="42"/>
  <c r="AK159" i="42" s="1"/>
  <c r="J129" i="43"/>
  <c r="I127" i="43"/>
  <c r="AJ139" i="42"/>
  <c r="AK139" i="42" s="1"/>
  <c r="AK140" i="42"/>
  <c r="V67" i="42"/>
  <c r="V66" i="42" s="1"/>
  <c r="AJ9" i="42"/>
  <c r="AD124" i="42"/>
  <c r="AJ124" i="42"/>
  <c r="AK124" i="42" s="1"/>
  <c r="AK125" i="42"/>
  <c r="I159" i="42"/>
  <c r="I158" i="42" s="1"/>
  <c r="AB124" i="42"/>
  <c r="AJ66" i="42"/>
  <c r="AK66" i="42" s="1"/>
  <c r="AK67" i="42"/>
  <c r="F38" i="29"/>
  <c r="E40" i="20"/>
  <c r="O59" i="27"/>
  <c r="O60" i="27" s="1"/>
  <c r="N59" i="27"/>
  <c r="N60" i="27" s="1"/>
  <c r="M59" i="27"/>
  <c r="M60" i="27" s="1"/>
  <c r="T37" i="27"/>
  <c r="T38" i="27" s="1"/>
  <c r="E36" i="22"/>
  <c r="F36" i="22"/>
  <c r="E24" i="10"/>
  <c r="G24" i="10" s="1"/>
  <c r="H79" i="1"/>
  <c r="E21" i="16"/>
  <c r="E22" i="16" s="1"/>
  <c r="R37" i="27"/>
  <c r="R38" i="27" s="1"/>
  <c r="Q37" i="27"/>
  <c r="Q38" i="27" s="1"/>
  <c r="P37" i="27"/>
  <c r="P38" i="27" s="1"/>
  <c r="O37" i="27"/>
  <c r="O38" i="27" s="1"/>
  <c r="N37" i="27"/>
  <c r="N38" i="27" s="1"/>
  <c r="M37" i="27"/>
  <c r="M38" i="27" s="1"/>
  <c r="F57" i="23"/>
  <c r="A2" i="29"/>
  <c r="A2" i="28"/>
  <c r="A2" i="27"/>
  <c r="A2" i="26"/>
  <c r="A2" i="25"/>
  <c r="A2" i="24"/>
  <c r="A2" i="23"/>
  <c r="E37" i="22"/>
  <c r="E39" i="22"/>
  <c r="E40" i="22"/>
  <c r="E41" i="22"/>
  <c r="A2" i="22"/>
  <c r="A2" i="21"/>
  <c r="A2" i="20"/>
  <c r="A2" i="18"/>
  <c r="A2" i="17"/>
  <c r="A2" i="16"/>
  <c r="A2" i="15"/>
  <c r="A2" i="14"/>
  <c r="A2" i="13"/>
  <c r="A2" i="12"/>
  <c r="A2" i="11"/>
  <c r="A2" i="10"/>
  <c r="A2" i="9"/>
  <c r="A2" i="8"/>
  <c r="A2" i="6"/>
  <c r="A2" i="5"/>
  <c r="A2" i="4"/>
  <c r="A2" i="3"/>
  <c r="A2" i="2"/>
  <c r="A2" i="1"/>
  <c r="A2" i="19"/>
  <c r="D11" i="22"/>
  <c r="J11" i="19"/>
  <c r="N11" i="19" s="1"/>
  <c r="J10" i="19"/>
  <c r="N10" i="19" s="1"/>
  <c r="J9" i="19"/>
  <c r="N9" i="19" s="1"/>
  <c r="J8" i="19"/>
  <c r="N8" i="19" s="1"/>
  <c r="J7" i="19"/>
  <c r="N7" i="19" s="1"/>
  <c r="J6" i="19"/>
  <c r="N6" i="19" s="1"/>
  <c r="J32" i="19"/>
  <c r="N32" i="19"/>
  <c r="J31" i="19"/>
  <c r="N31" i="19" s="1"/>
  <c r="J30" i="19"/>
  <c r="N30" i="19" s="1"/>
  <c r="J29" i="19"/>
  <c r="N29" i="19" s="1"/>
  <c r="J28" i="19"/>
  <c r="N28" i="19" s="1"/>
  <c r="J27" i="19"/>
  <c r="N27" i="19" s="1"/>
  <c r="J26" i="19"/>
  <c r="N26" i="19" s="1"/>
  <c r="J25" i="19"/>
  <c r="N25" i="19" s="1"/>
  <c r="J24" i="19"/>
  <c r="N24" i="19" s="1"/>
  <c r="J23" i="19"/>
  <c r="N23" i="19" s="1"/>
  <c r="J22" i="19"/>
  <c r="N22" i="19" s="1"/>
  <c r="J21" i="19"/>
  <c r="N21" i="19" s="1"/>
  <c r="J20" i="19"/>
  <c r="N20" i="19" s="1"/>
  <c r="J19" i="19"/>
  <c r="N19" i="19" s="1"/>
  <c r="J18" i="19"/>
  <c r="N18" i="19" s="1"/>
  <c r="J17" i="19"/>
  <c r="N17" i="19" s="1"/>
  <c r="J16" i="19"/>
  <c r="N16" i="19" s="1"/>
  <c r="J15" i="19"/>
  <c r="N15" i="19" s="1"/>
  <c r="J14" i="19"/>
  <c r="N14" i="19" s="1"/>
  <c r="J13" i="19"/>
  <c r="N13" i="19" s="1"/>
  <c r="J12" i="19"/>
  <c r="N12" i="19" s="1"/>
  <c r="I32" i="19"/>
  <c r="M32" i="19" s="1"/>
  <c r="I31" i="19"/>
  <c r="M31" i="19" s="1"/>
  <c r="I30" i="19"/>
  <c r="M30" i="19" s="1"/>
  <c r="M29" i="19"/>
  <c r="I28" i="19"/>
  <c r="M28" i="19" s="1"/>
  <c r="I27" i="19"/>
  <c r="M27" i="19"/>
  <c r="I26" i="19"/>
  <c r="M26" i="19" s="1"/>
  <c r="I25" i="19"/>
  <c r="M25" i="19" s="1"/>
  <c r="I24" i="19"/>
  <c r="M24" i="19" s="1"/>
  <c r="I23" i="19"/>
  <c r="M23" i="19" s="1"/>
  <c r="I22" i="19"/>
  <c r="M22" i="19" s="1"/>
  <c r="I21" i="19"/>
  <c r="M21" i="19" s="1"/>
  <c r="I20" i="19"/>
  <c r="M20" i="19" s="1"/>
  <c r="I19" i="19"/>
  <c r="M19" i="19" s="1"/>
  <c r="I18" i="19"/>
  <c r="M18" i="19" s="1"/>
  <c r="I17" i="19"/>
  <c r="M17" i="19" s="1"/>
  <c r="I16" i="19"/>
  <c r="M16" i="19" s="1"/>
  <c r="I15" i="19"/>
  <c r="M15" i="19" s="1"/>
  <c r="I14" i="19"/>
  <c r="M14" i="19" s="1"/>
  <c r="I13" i="19"/>
  <c r="M13" i="19" s="1"/>
  <c r="I12" i="19"/>
  <c r="M12" i="19" s="1"/>
  <c r="I11" i="19"/>
  <c r="M11" i="19" s="1"/>
  <c r="I10" i="19"/>
  <c r="M10" i="19" s="1"/>
  <c r="I9" i="19"/>
  <c r="M9" i="19" s="1"/>
  <c r="I8" i="19"/>
  <c r="M8" i="19" s="1"/>
  <c r="I7" i="19"/>
  <c r="M7" i="19" s="1"/>
  <c r="H29" i="19"/>
  <c r="H15" i="19"/>
  <c r="H32" i="19"/>
  <c r="H31" i="19"/>
  <c r="H30" i="19"/>
  <c r="H28" i="19"/>
  <c r="H27" i="19"/>
  <c r="H26" i="19"/>
  <c r="H25" i="19"/>
  <c r="H24" i="19"/>
  <c r="H23" i="19"/>
  <c r="H22" i="19"/>
  <c r="H21" i="19"/>
  <c r="H20" i="19"/>
  <c r="H19" i="19"/>
  <c r="H18" i="19"/>
  <c r="H17" i="19"/>
  <c r="H16" i="19"/>
  <c r="H14" i="19"/>
  <c r="H13" i="19"/>
  <c r="H12" i="19"/>
  <c r="H11" i="19"/>
  <c r="H10" i="19"/>
  <c r="H9" i="19"/>
  <c r="H8" i="19"/>
  <c r="H7" i="19"/>
  <c r="D12" i="5"/>
  <c r="D11" i="5"/>
  <c r="D12" i="9"/>
  <c r="D13" i="10" s="1"/>
  <c r="D11" i="9"/>
  <c r="D12" i="11"/>
  <c r="D11" i="11"/>
  <c r="D11" i="12"/>
  <c r="D12" i="13"/>
  <c r="D11" i="13"/>
  <c r="D12" i="14"/>
  <c r="D11" i="14"/>
  <c r="D12" i="15"/>
  <c r="D11" i="15"/>
  <c r="D12" i="16"/>
  <c r="D11" i="16"/>
  <c r="D12" i="18"/>
  <c r="D11" i="18"/>
  <c r="D12" i="20"/>
  <c r="D11" i="20"/>
  <c r="D12" i="21"/>
  <c r="D11" i="21"/>
  <c r="D12" i="22"/>
  <c r="D12" i="23"/>
  <c r="D11" i="23"/>
  <c r="D12" i="24"/>
  <c r="D11" i="24"/>
  <c r="D12" i="25"/>
  <c r="D11" i="25"/>
  <c r="D11" i="26"/>
  <c r="D10" i="26"/>
  <c r="D12" i="27"/>
  <c r="D11" i="27"/>
  <c r="D12" i="28"/>
  <c r="D11" i="28"/>
  <c r="D12" i="29"/>
  <c r="D11" i="29"/>
  <c r="I6" i="19"/>
  <c r="M6" i="19" s="1"/>
  <c r="A11" i="1"/>
  <c r="G30" i="29"/>
  <c r="D29" i="33"/>
  <c r="E81" i="27" s="1"/>
  <c r="D56" i="23"/>
  <c r="D55" i="23"/>
  <c r="D54" i="23"/>
  <c r="D53" i="23"/>
  <c r="D52" i="23"/>
  <c r="D26" i="33"/>
  <c r="F120" i="24" s="1"/>
  <c r="D115" i="24"/>
  <c r="D116" i="24"/>
  <c r="D117" i="24"/>
  <c r="D118" i="24"/>
  <c r="D119" i="24"/>
  <c r="I23" i="21"/>
  <c r="D20" i="33"/>
  <c r="H30" i="17" s="1"/>
  <c r="I22" i="17"/>
  <c r="H21" i="16"/>
  <c r="H22" i="16" s="1"/>
  <c r="G21" i="16"/>
  <c r="G22" i="16" s="1"/>
  <c r="F21" i="16"/>
  <c r="F22" i="16" s="1"/>
  <c r="D8" i="16" s="1"/>
  <c r="D20" i="19" s="1"/>
  <c r="L20" i="19" s="1"/>
  <c r="Q21" i="14"/>
  <c r="Q20" i="14"/>
  <c r="Q19" i="14"/>
  <c r="L45" i="12"/>
  <c r="M27" i="12"/>
  <c r="N17" i="12"/>
  <c r="N18" i="12"/>
  <c r="N19" i="12" s="1"/>
  <c r="N20" i="12"/>
  <c r="N21" i="12"/>
  <c r="M22" i="12"/>
  <c r="M46" i="12"/>
  <c r="M33" i="12"/>
  <c r="K28" i="12"/>
  <c r="K43" i="12" s="1"/>
  <c r="K27" i="12"/>
  <c r="K42" i="12"/>
  <c r="K26" i="12"/>
  <c r="K41" i="12" s="1"/>
  <c r="K29" i="12"/>
  <c r="K44" i="12"/>
  <c r="M29" i="12"/>
  <c r="M28" i="12"/>
  <c r="M26" i="12"/>
  <c r="E20" i="12"/>
  <c r="E15" i="33" s="1"/>
  <c r="F30" i="12" s="1"/>
  <c r="G15" i="33"/>
  <c r="H30" i="12" s="1"/>
  <c r="E69" i="10"/>
  <c r="H58" i="10"/>
  <c r="G58" i="10"/>
  <c r="F58" i="10"/>
  <c r="E58" i="10"/>
  <c r="E46" i="10"/>
  <c r="E35" i="10"/>
  <c r="J18" i="11"/>
  <c r="H69" i="10"/>
  <c r="G69" i="10"/>
  <c r="F69" i="10"/>
  <c r="H94" i="10"/>
  <c r="G94" i="10"/>
  <c r="F94" i="10"/>
  <c r="D14" i="19"/>
  <c r="L14" i="19" s="1"/>
  <c r="H95" i="10"/>
  <c r="G95" i="10"/>
  <c r="F95" i="10"/>
  <c r="F96" i="10" s="1"/>
  <c r="H46" i="10"/>
  <c r="G46" i="10"/>
  <c r="F46" i="10"/>
  <c r="E95" i="10"/>
  <c r="E94" i="10"/>
  <c r="H35" i="10"/>
  <c r="G35" i="10"/>
  <c r="F35" i="10"/>
  <c r="F24" i="10"/>
  <c r="D69" i="1"/>
  <c r="D87" i="1" s="1"/>
  <c r="G80" i="1"/>
  <c r="H80" i="1"/>
  <c r="I80" i="1"/>
  <c r="J80" i="1"/>
  <c r="G81" i="1"/>
  <c r="H81" i="1"/>
  <c r="I81" i="1"/>
  <c r="J81" i="1"/>
  <c r="G82" i="1"/>
  <c r="H82" i="1"/>
  <c r="I82" i="1"/>
  <c r="J82" i="1"/>
  <c r="D62" i="1"/>
  <c r="D80" i="1" s="1"/>
  <c r="E62" i="1"/>
  <c r="E80" i="1"/>
  <c r="F62" i="1"/>
  <c r="F80" i="1" s="1"/>
  <c r="D63" i="1"/>
  <c r="D81" i="1" s="1"/>
  <c r="E63" i="1"/>
  <c r="E81" i="1" s="1"/>
  <c r="F63" i="1"/>
  <c r="F81" i="1" s="1"/>
  <c r="D64" i="1"/>
  <c r="D82" i="1" s="1"/>
  <c r="E64" i="1"/>
  <c r="E82" i="1"/>
  <c r="F64" i="1"/>
  <c r="F82" i="1" s="1"/>
  <c r="D65" i="1"/>
  <c r="D83" i="1" s="1"/>
  <c r="E65" i="1"/>
  <c r="E83" i="1" s="1"/>
  <c r="F65" i="1"/>
  <c r="F83" i="1"/>
  <c r="D66" i="1"/>
  <c r="D84" i="1" s="1"/>
  <c r="E66" i="1"/>
  <c r="E84" i="1"/>
  <c r="F66" i="1"/>
  <c r="F84" i="1" s="1"/>
  <c r="D67" i="1"/>
  <c r="D85" i="1" s="1"/>
  <c r="E67" i="1"/>
  <c r="E85" i="1" s="1"/>
  <c r="F67" i="1"/>
  <c r="F85" i="1" s="1"/>
  <c r="D68" i="1"/>
  <c r="D86" i="1" s="1"/>
  <c r="E68" i="1"/>
  <c r="E86" i="1" s="1"/>
  <c r="F68" i="1"/>
  <c r="F86" i="1" s="1"/>
  <c r="E69" i="1"/>
  <c r="E87" i="1" s="1"/>
  <c r="F69" i="1"/>
  <c r="F87" i="1" s="1"/>
  <c r="D70" i="1"/>
  <c r="D88" i="1" s="1"/>
  <c r="E70" i="1"/>
  <c r="E88" i="1" s="1"/>
  <c r="F70" i="1"/>
  <c r="F88" i="1" s="1"/>
  <c r="D71" i="1"/>
  <c r="D89" i="1" s="1"/>
  <c r="E71" i="1"/>
  <c r="E89" i="1"/>
  <c r="F71" i="1"/>
  <c r="F89" i="1" s="1"/>
  <c r="D72" i="1"/>
  <c r="D90" i="1" s="1"/>
  <c r="E72" i="1"/>
  <c r="E90" i="1" s="1"/>
  <c r="F72" i="1"/>
  <c r="F90" i="1" s="1"/>
  <c r="D73" i="1"/>
  <c r="D91" i="1" s="1"/>
  <c r="E73" i="1"/>
  <c r="E91" i="1" s="1"/>
  <c r="F73" i="1"/>
  <c r="F91" i="1" s="1"/>
  <c r="D74" i="1"/>
  <c r="D92" i="1" s="1"/>
  <c r="E74" i="1"/>
  <c r="E92" i="1" s="1"/>
  <c r="F74" i="1"/>
  <c r="F92" i="1" s="1"/>
  <c r="D61" i="1"/>
  <c r="D79" i="1" s="1"/>
  <c r="F44" i="20"/>
  <c r="F43" i="20"/>
  <c r="F42" i="20"/>
  <c r="F41" i="20"/>
  <c r="F40" i="20"/>
  <c r="F39" i="20"/>
  <c r="E43" i="20"/>
  <c r="E42" i="20"/>
  <c r="E41" i="20"/>
  <c r="E39" i="20"/>
  <c r="E44" i="20"/>
  <c r="E20" i="20"/>
  <c r="I18" i="20"/>
  <c r="G37" i="21"/>
  <c r="H37" i="21"/>
  <c r="I37" i="21"/>
  <c r="G41" i="29"/>
  <c r="G40" i="29"/>
  <c r="G39" i="29"/>
  <c r="G38" i="29"/>
  <c r="G37" i="29"/>
  <c r="G36" i="29"/>
  <c r="G41" i="22"/>
  <c r="G40" i="22"/>
  <c r="G39" i="22"/>
  <c r="G38" i="22"/>
  <c r="G37" i="22"/>
  <c r="F41" i="22"/>
  <c r="F40" i="22"/>
  <c r="F39" i="22"/>
  <c r="F38" i="22"/>
  <c r="F37" i="22"/>
  <c r="F37" i="29"/>
  <c r="F36" i="29"/>
  <c r="E21" i="25"/>
  <c r="F27" i="28"/>
  <c r="E27" i="28"/>
  <c r="E21" i="28"/>
  <c r="G21" i="28"/>
  <c r="F21" i="28"/>
  <c r="J20" i="27"/>
  <c r="E24" i="27" s="1"/>
  <c r="I20" i="27"/>
  <c r="E23" i="27" s="1"/>
  <c r="F41" i="29"/>
  <c r="F40" i="29"/>
  <c r="F39" i="29"/>
  <c r="E41" i="29"/>
  <c r="E40" i="29"/>
  <c r="E39" i="29"/>
  <c r="E37" i="29"/>
  <c r="E36" i="29"/>
  <c r="J36" i="21"/>
  <c r="H20" i="20"/>
  <c r="G20" i="20"/>
  <c r="F20" i="20"/>
  <c r="D8" i="20" s="1"/>
  <c r="D23" i="19" s="1"/>
  <c r="L23" i="19" s="1"/>
  <c r="H22" i="18"/>
  <c r="G22" i="18"/>
  <c r="F22" i="18"/>
  <c r="D8" i="18"/>
  <c r="D22" i="19"/>
  <c r="L22" i="19" s="1"/>
  <c r="E22" i="18"/>
  <c r="I21" i="15"/>
  <c r="H21" i="15"/>
  <c r="F21" i="15"/>
  <c r="E21" i="15"/>
  <c r="P22" i="14"/>
  <c r="O22" i="14"/>
  <c r="N22" i="14"/>
  <c r="M22" i="14"/>
  <c r="L22" i="14"/>
  <c r="K22" i="14"/>
  <c r="J22" i="14"/>
  <c r="I22" i="14"/>
  <c r="H22" i="14"/>
  <c r="G22" i="14"/>
  <c r="F22" i="14"/>
  <c r="E22" i="14"/>
  <c r="E20" i="13"/>
  <c r="F20" i="13"/>
  <c r="I20" i="11"/>
  <c r="H20" i="11"/>
  <c r="G20" i="11"/>
  <c r="F20" i="11"/>
  <c r="D15" i="19"/>
  <c r="L15" i="19" s="1"/>
  <c r="E20" i="11"/>
  <c r="H19" i="9"/>
  <c r="G19" i="9"/>
  <c r="D8" i="9" s="1"/>
  <c r="F19" i="9"/>
  <c r="E19" i="9"/>
  <c r="D12" i="19"/>
  <c r="H22" i="5"/>
  <c r="G22" i="5"/>
  <c r="F22" i="5"/>
  <c r="E22" i="5"/>
  <c r="L10" i="19"/>
  <c r="H23" i="4"/>
  <c r="G23" i="4"/>
  <c r="F23" i="4"/>
  <c r="E23" i="4"/>
  <c r="D9" i="19" s="1"/>
  <c r="D8" i="3"/>
  <c r="H23" i="2"/>
  <c r="G23" i="2"/>
  <c r="F23" i="2"/>
  <c r="E23" i="2"/>
  <c r="D7" i="19"/>
  <c r="H28" i="13"/>
  <c r="I52" i="10"/>
  <c r="D24" i="33"/>
  <c r="D42" i="22" s="1"/>
  <c r="D23" i="33"/>
  <c r="H30" i="21"/>
  <c r="D22" i="33"/>
  <c r="D45" i="20" s="1"/>
  <c r="D5" i="33"/>
  <c r="D99" i="1" s="1"/>
  <c r="I17" i="29"/>
  <c r="D31" i="33"/>
  <c r="D42" i="29"/>
  <c r="G27" i="6"/>
  <c r="J79" i="1"/>
  <c r="I79" i="1"/>
  <c r="G79" i="1"/>
  <c r="F61" i="1"/>
  <c r="F79" i="1" s="1"/>
  <c r="H43" i="27"/>
  <c r="G46" i="27"/>
  <c r="G47" i="27" s="1"/>
  <c r="F46" i="27"/>
  <c r="F47" i="27" s="1"/>
  <c r="E46" i="27"/>
  <c r="E47" i="27" s="1"/>
  <c r="E68" i="27"/>
  <c r="E69" i="27" s="1"/>
  <c r="L59" i="27"/>
  <c r="L60" i="27" s="1"/>
  <c r="K59" i="27"/>
  <c r="K60" i="27" s="1"/>
  <c r="J59" i="27"/>
  <c r="J60" i="27" s="1"/>
  <c r="I59" i="27"/>
  <c r="I60" i="27" s="1"/>
  <c r="H59" i="27"/>
  <c r="H60" i="27" s="1"/>
  <c r="G59" i="27"/>
  <c r="G60" i="27" s="1"/>
  <c r="F59" i="27"/>
  <c r="F60" i="27" s="1"/>
  <c r="E59" i="27"/>
  <c r="E60" i="27" s="1"/>
  <c r="L37" i="27"/>
  <c r="L38" i="27" s="1"/>
  <c r="K37" i="27"/>
  <c r="K38" i="27" s="1"/>
  <c r="J37" i="27"/>
  <c r="J38" i="27" s="1"/>
  <c r="I37" i="27"/>
  <c r="I38" i="27" s="1"/>
  <c r="H37" i="27"/>
  <c r="H38" i="27" s="1"/>
  <c r="G37" i="27"/>
  <c r="G38" i="27" s="1"/>
  <c r="F37" i="27"/>
  <c r="F38" i="27" s="1"/>
  <c r="E37" i="27"/>
  <c r="E38" i="27" s="1"/>
  <c r="F68" i="27"/>
  <c r="F69" i="27" s="1"/>
  <c r="H45" i="27"/>
  <c r="H44" i="27"/>
  <c r="H17" i="26"/>
  <c r="G17" i="26"/>
  <c r="F17" i="26"/>
  <c r="E17" i="26"/>
  <c r="D7" i="26"/>
  <c r="D29" i="19"/>
  <c r="L29" i="19" s="1"/>
  <c r="H21" i="25"/>
  <c r="G21" i="25"/>
  <c r="F21" i="25"/>
  <c r="H112" i="24"/>
  <c r="G112" i="24"/>
  <c r="F112" i="24"/>
  <c r="E119" i="24" s="1"/>
  <c r="G119" i="24" s="1"/>
  <c r="E112" i="24"/>
  <c r="H99" i="24"/>
  <c r="G99" i="24"/>
  <c r="F99" i="24"/>
  <c r="E99" i="24"/>
  <c r="I98" i="24"/>
  <c r="I97" i="24"/>
  <c r="H92" i="24"/>
  <c r="G92" i="24"/>
  <c r="F92" i="24"/>
  <c r="E118" i="24" s="1"/>
  <c r="G118" i="24" s="1"/>
  <c r="E92" i="24"/>
  <c r="H81" i="24"/>
  <c r="G81" i="24"/>
  <c r="F81" i="24"/>
  <c r="E81" i="24"/>
  <c r="H74" i="24"/>
  <c r="G74" i="24"/>
  <c r="F74" i="24"/>
  <c r="E117" i="24" s="1"/>
  <c r="E74" i="24"/>
  <c r="H60" i="24"/>
  <c r="G60" i="24"/>
  <c r="F60" i="24"/>
  <c r="E60" i="24"/>
  <c r="H53" i="24"/>
  <c r="G53" i="24"/>
  <c r="F53" i="24"/>
  <c r="E116" i="24" s="1"/>
  <c r="G116" i="24" s="1"/>
  <c r="E53" i="24"/>
  <c r="H24" i="24"/>
  <c r="G24" i="24"/>
  <c r="F24" i="24"/>
  <c r="E115" i="24" s="1"/>
  <c r="G115" i="24" s="1"/>
  <c r="E24" i="24"/>
  <c r="H49" i="23"/>
  <c r="F49" i="23"/>
  <c r="E56" i="23" s="1"/>
  <c r="G56" i="23" s="1"/>
  <c r="E49" i="23"/>
  <c r="H42" i="23"/>
  <c r="G42" i="23"/>
  <c r="F42" i="23"/>
  <c r="E55" i="23" s="1"/>
  <c r="G55" i="23" s="1"/>
  <c r="E42" i="23"/>
  <c r="H35" i="23"/>
  <c r="G35" i="23"/>
  <c r="F35" i="23"/>
  <c r="E54" i="23" s="1"/>
  <c r="G54" i="23" s="1"/>
  <c r="E35" i="23"/>
  <c r="H28" i="23"/>
  <c r="G28" i="23"/>
  <c r="F28" i="23"/>
  <c r="E53" i="23" s="1"/>
  <c r="E28" i="23"/>
  <c r="H21" i="23"/>
  <c r="G21" i="23"/>
  <c r="F21" i="23"/>
  <c r="E52" i="23" s="1"/>
  <c r="G52" i="23" s="1"/>
  <c r="E21" i="23"/>
  <c r="J30" i="22"/>
  <c r="K36" i="21"/>
  <c r="I29" i="21"/>
  <c r="I28" i="21"/>
  <c r="I27" i="21"/>
  <c r="I26" i="21"/>
  <c r="I25" i="21"/>
  <c r="I24" i="21"/>
  <c r="G33" i="20"/>
  <c r="I29" i="17"/>
  <c r="I28" i="17"/>
  <c r="I27" i="17"/>
  <c r="I26" i="17"/>
  <c r="I25" i="17"/>
  <c r="E20" i="33" s="1"/>
  <c r="I30" i="17" s="1"/>
  <c r="D8" i="17" s="1"/>
  <c r="D21" i="19" s="1"/>
  <c r="I24" i="17"/>
  <c r="I23" i="17"/>
  <c r="J20" i="15"/>
  <c r="K20" i="15" s="1"/>
  <c r="J19" i="15"/>
  <c r="K19" i="15" s="1"/>
  <c r="J18" i="15"/>
  <c r="K18" i="15" s="1"/>
  <c r="G19" i="13"/>
  <c r="G18" i="13"/>
  <c r="G17" i="13"/>
  <c r="I22" i="4"/>
  <c r="I23" i="4" s="1"/>
  <c r="I21" i="4"/>
  <c r="E61" i="1"/>
  <c r="E79" i="1" s="1"/>
  <c r="I51" i="6"/>
  <c r="H51" i="6"/>
  <c r="G51" i="6"/>
  <c r="F51" i="6"/>
  <c r="J37" i="9"/>
  <c r="I37" i="9"/>
  <c r="H37" i="9"/>
  <c r="G37" i="9"/>
  <c r="F37" i="9"/>
  <c r="G22" i="10"/>
  <c r="G21" i="10"/>
  <c r="G20" i="10"/>
  <c r="G19" i="10"/>
  <c r="K28" i="13"/>
  <c r="J28" i="13"/>
  <c r="I28" i="13"/>
  <c r="K34" i="14"/>
  <c r="J34" i="14"/>
  <c r="I34" i="14"/>
  <c r="H34" i="14"/>
  <c r="F33" i="16"/>
  <c r="J33" i="16"/>
  <c r="I33" i="16"/>
  <c r="H33" i="16"/>
  <c r="G33" i="16"/>
  <c r="J33" i="20"/>
  <c r="I33" i="20"/>
  <c r="H33" i="20"/>
  <c r="K30" i="22"/>
  <c r="I30" i="22"/>
  <c r="I19" i="22"/>
  <c r="H30" i="22"/>
  <c r="I18" i="22"/>
  <c r="J30" i="29"/>
  <c r="I30" i="29"/>
  <c r="H30" i="29"/>
  <c r="I19" i="29"/>
  <c r="I18" i="29"/>
  <c r="I20" i="25"/>
  <c r="I19" i="25"/>
  <c r="I18" i="25"/>
  <c r="I111" i="24"/>
  <c r="I110" i="24"/>
  <c r="I91" i="24"/>
  <c r="I90" i="24"/>
  <c r="I80" i="24"/>
  <c r="I79" i="24"/>
  <c r="I73" i="24"/>
  <c r="I72" i="24"/>
  <c r="I59" i="24"/>
  <c r="I58" i="24"/>
  <c r="I52" i="24"/>
  <c r="I51" i="24"/>
  <c r="I23" i="24"/>
  <c r="I22" i="24"/>
  <c r="I48" i="23"/>
  <c r="I47" i="23"/>
  <c r="I41" i="23"/>
  <c r="I40" i="23"/>
  <c r="I34" i="23"/>
  <c r="I35" i="23" s="1"/>
  <c r="I33" i="23"/>
  <c r="I27" i="23"/>
  <c r="I26" i="23"/>
  <c r="I20" i="23"/>
  <c r="I19" i="23"/>
  <c r="I17" i="22"/>
  <c r="I18" i="21"/>
  <c r="I19" i="20"/>
  <c r="I21" i="18"/>
  <c r="I20" i="18"/>
  <c r="I18" i="17"/>
  <c r="J19" i="11"/>
  <c r="I63" i="10"/>
  <c r="I40" i="10"/>
  <c r="I29" i="10"/>
  <c r="I22" i="2"/>
  <c r="I21" i="2"/>
  <c r="I15" i="33"/>
  <c r="I25" i="12" s="1"/>
  <c r="D15" i="33"/>
  <c r="E30" i="12" s="1"/>
  <c r="F15" i="33"/>
  <c r="G30" i="12"/>
  <c r="D8" i="19"/>
  <c r="L8" i="19" s="1"/>
  <c r="I95" i="10"/>
  <c r="M30" i="12"/>
  <c r="I94" i="10"/>
  <c r="G96" i="10"/>
  <c r="H96" i="10"/>
  <c r="E27" i="6"/>
  <c r="G21" i="15"/>
  <c r="F27" i="6"/>
  <c r="D11" i="19" s="1"/>
  <c r="L11" i="19" s="1"/>
  <c r="E96" i="10"/>
  <c r="D16" i="19"/>
  <c r="M45" i="12"/>
  <c r="M32" i="12" s="1"/>
  <c r="E42" i="29" l="1"/>
  <c r="D8" i="29" s="1"/>
  <c r="D32" i="19" s="1"/>
  <c r="L32" i="19" s="1"/>
  <c r="K37" i="21"/>
  <c r="D13" i="19"/>
  <c r="I23" i="2"/>
  <c r="I22" i="18"/>
  <c r="I81" i="24"/>
  <c r="I112" i="24"/>
  <c r="I60" i="24"/>
  <c r="I53" i="24"/>
  <c r="I92" i="24"/>
  <c r="I49" i="23"/>
  <c r="I24" i="24"/>
  <c r="I42" i="23"/>
  <c r="E57" i="23"/>
  <c r="G53" i="23"/>
  <c r="G57" i="23" s="1"/>
  <c r="D8" i="23" s="1"/>
  <c r="D26" i="19" s="1"/>
  <c r="L26" i="19" s="1"/>
  <c r="I28" i="23"/>
  <c r="I21" i="23"/>
  <c r="E45" i="20"/>
  <c r="I20" i="20"/>
  <c r="V8" i="42"/>
  <c r="V223" i="42" s="1"/>
  <c r="L21" i="19"/>
  <c r="E30" i="28"/>
  <c r="D8" i="28" s="1"/>
  <c r="D31" i="19" s="1"/>
  <c r="L31" i="19" s="1"/>
  <c r="E24" i="33"/>
  <c r="F24" i="33"/>
  <c r="G42" i="22" s="1"/>
  <c r="K21" i="15"/>
  <c r="D8" i="15" s="1"/>
  <c r="D19" i="19" s="1"/>
  <c r="L19" i="19" s="1"/>
  <c r="J21" i="15"/>
  <c r="Q22" i="14"/>
  <c r="D8" i="14" s="1"/>
  <c r="D18" i="19" s="1"/>
  <c r="L18" i="19" s="1"/>
  <c r="G20" i="13"/>
  <c r="D8" i="13" s="1"/>
  <c r="D17" i="19" s="1"/>
  <c r="L17" i="19" s="1"/>
  <c r="E25" i="27"/>
  <c r="E79" i="27" s="1"/>
  <c r="H69" i="27"/>
  <c r="H70" i="27" s="1"/>
  <c r="E74" i="27" s="1"/>
  <c r="L12" i="19"/>
  <c r="L9" i="19"/>
  <c r="G96" i="1"/>
  <c r="H96" i="1"/>
  <c r="I96" i="1"/>
  <c r="G97" i="1"/>
  <c r="L16" i="19"/>
  <c r="K127" i="43"/>
  <c r="L120" i="43"/>
  <c r="AJ158" i="42"/>
  <c r="AK158" i="42" s="1"/>
  <c r="I8" i="42"/>
  <c r="I223" i="42" s="1"/>
  <c r="H8" i="42"/>
  <c r="H223" i="42" s="1"/>
  <c r="AD223" i="42"/>
  <c r="J127" i="43"/>
  <c r="I121" i="43"/>
  <c r="AK9" i="42"/>
  <c r="AJ8" i="42"/>
  <c r="J96" i="1"/>
  <c r="I97" i="1"/>
  <c r="J98" i="1"/>
  <c r="M31" i="12"/>
  <c r="M34" i="12"/>
  <c r="L7" i="19"/>
  <c r="H97" i="1"/>
  <c r="G98" i="1"/>
  <c r="H98" i="1"/>
  <c r="J97" i="1"/>
  <c r="I98" i="1"/>
  <c r="E23" i="33"/>
  <c r="I30" i="21" s="1"/>
  <c r="D8" i="21" s="1"/>
  <c r="D24" i="19" s="1"/>
  <c r="L24" i="19" s="1"/>
  <c r="I99" i="24"/>
  <c r="H47" i="27"/>
  <c r="H48" i="27" s="1"/>
  <c r="E73" i="27" s="1"/>
  <c r="E75" i="27" s="1"/>
  <c r="E80" i="27" s="1"/>
  <c r="E29" i="33" s="1"/>
  <c r="F81" i="27" s="1"/>
  <c r="D8" i="27" s="1"/>
  <c r="D30" i="19" s="1"/>
  <c r="L30" i="19" s="1"/>
  <c r="F42" i="29"/>
  <c r="I96" i="10"/>
  <c r="G42" i="29"/>
  <c r="F45" i="20"/>
  <c r="H27" i="6"/>
  <c r="J37" i="21"/>
  <c r="J20" i="11"/>
  <c r="E42" i="22"/>
  <c r="D8" i="22" s="1"/>
  <c r="D25" i="19" s="1"/>
  <c r="L25" i="19" s="1"/>
  <c r="L13" i="19"/>
  <c r="I21" i="25"/>
  <c r="F42" i="22"/>
  <c r="I74" i="24"/>
  <c r="G117" i="24"/>
  <c r="G120" i="24" s="1"/>
  <c r="D8" i="24" s="1"/>
  <c r="E120" i="24"/>
  <c r="E5" i="33" l="1"/>
  <c r="G99" i="1" s="1"/>
  <c r="L3" i="43"/>
  <c r="K121" i="43"/>
  <c r="J121" i="43"/>
  <c r="I120" i="43"/>
  <c r="G5" i="33"/>
  <c r="I99" i="1" s="1"/>
  <c r="F5" i="33"/>
  <c r="H99" i="1" s="1"/>
  <c r="D8" i="1" s="1"/>
  <c r="D6" i="19" s="1"/>
  <c r="L6" i="19" s="1"/>
  <c r="AJ223" i="42"/>
  <c r="AK223" i="42" s="1"/>
  <c r="AK8" i="42"/>
  <c r="H5" i="33"/>
  <c r="J99" i="1" s="1"/>
  <c r="D27" i="19"/>
  <c r="L27" i="19" s="1"/>
  <c r="D28" i="19"/>
  <c r="L28" i="19" s="1"/>
  <c r="K120" i="43" l="1"/>
  <c r="J120" i="43"/>
  <c r="I3" i="43"/>
  <c r="K3" i="43" l="1"/>
  <c r="J3" i="43"/>
</calcChain>
</file>

<file path=xl/comments1.xml><?xml version="1.0" encoding="utf-8"?>
<comments xmlns="http://schemas.openxmlformats.org/spreadsheetml/2006/main">
  <authors>
    <author>Usuario</author>
    <author/>
    <author>Alex</author>
  </authors>
  <commentList>
    <comment ref="U6" authorId="0" shapeId="0">
      <text>
        <r>
          <rPr>
            <b/>
            <sz val="9"/>
            <color indexed="81"/>
            <rFont val="Tahoma"/>
            <family val="2"/>
          </rPr>
          <t>Usuario:</t>
        </r>
        <r>
          <rPr>
            <sz val="9"/>
            <color indexed="81"/>
            <rFont val="Tahoma"/>
            <family val="2"/>
          </rPr>
          <t xml:space="preserve">
Se ajusto fórmula para incluir la información de avance en el rezago. Se deja en amarillo la info de celdas que cambiaron.</t>
        </r>
      </text>
    </comment>
    <comment ref="W6" authorId="0" shapeId="0">
      <text>
        <r>
          <rPr>
            <b/>
            <sz val="9"/>
            <color indexed="81"/>
            <rFont val="Tahoma"/>
            <family val="2"/>
          </rPr>
          <t>Usuario:</t>
        </r>
        <r>
          <rPr>
            <sz val="9"/>
            <color indexed="81"/>
            <rFont val="Tahoma"/>
            <family val="2"/>
          </rPr>
          <t xml:space="preserve">
Ponderación definida para todo el periodo administrativo (2020-2023)</t>
        </r>
      </text>
    </comment>
    <comment ref="AD6" authorId="0" shapeId="0">
      <text>
        <r>
          <rPr>
            <b/>
            <sz val="9"/>
            <color indexed="81"/>
            <rFont val="Tahoma"/>
            <family val="2"/>
          </rPr>
          <t>Usuario:</t>
        </r>
        <r>
          <rPr>
            <sz val="9"/>
            <color indexed="81"/>
            <rFont val="Tahoma"/>
            <family val="2"/>
          </rPr>
          <t xml:space="preserve">
Se ajusto formula y por ende se modifican valores.</t>
        </r>
      </text>
    </comment>
    <comment ref="AF6" authorId="0" shapeId="0">
      <text>
        <r>
          <rPr>
            <b/>
            <sz val="9"/>
            <color indexed="81"/>
            <rFont val="Tahoma"/>
            <family val="2"/>
          </rPr>
          <t>Usuario:</t>
        </r>
        <r>
          <rPr>
            <sz val="9"/>
            <color indexed="81"/>
            <rFont val="Tahoma"/>
            <family val="2"/>
          </rPr>
          <t xml:space="preserve">
Revisar,  no coincide información con informe 2020.</t>
        </r>
      </text>
    </comment>
    <comment ref="AI6" authorId="0" shapeId="0">
      <text>
        <r>
          <rPr>
            <b/>
            <sz val="9"/>
            <color indexed="81"/>
            <rFont val="Tahoma"/>
            <family val="2"/>
          </rPr>
          <t>Usuario:</t>
        </r>
        <r>
          <rPr>
            <sz val="9"/>
            <color indexed="81"/>
            <rFont val="Tahoma"/>
            <family val="2"/>
          </rPr>
          <t xml:space="preserve">
Meta para el cuatrienio</t>
        </r>
      </text>
    </comment>
    <comment ref="A9" authorId="0" shapeId="0">
      <text>
        <r>
          <rPr>
            <b/>
            <sz val="9"/>
            <color indexed="81"/>
            <rFont val="Tahoma"/>
            <family val="2"/>
          </rPr>
          <t>Usuario:</t>
        </r>
        <r>
          <rPr>
            <sz val="9"/>
            <color indexed="81"/>
            <rFont val="Tahoma"/>
            <family val="2"/>
          </rPr>
          <t xml:space="preserve">
Acuerdo 006 del 26 de julio 2021. Agrupa el proyecto 5.1 del programa 5. PROTECCION DE LA BIODIVERSIDAD PARA SOSTENIBILIDAD DE SERVICIOS ECOSISTÉMICOS Y SUSTENTABILIDAD DEL DESARROLLO y el Programa 4 PRODUCTIVIDAD SOSTENIBLE y BIODIVERCIUDAD : integrando lo SECTORIAL  y lo URBANO, con el 3201.
Adicionalmente cambia la articulación de L.E del Proyecto 5.1 pasando de la 5 a la 4, y agrupando todo el Programa 4 en la L.E 4, eliminando la doble articulación que tenia en el 2020.</t>
        </r>
      </text>
    </comment>
    <comment ref="A10" authorId="0" shapeId="0">
      <text>
        <r>
          <rPr>
            <b/>
            <sz val="9"/>
            <color indexed="81"/>
            <rFont val="Tahoma"/>
            <family val="2"/>
          </rPr>
          <t>Usuario:</t>
        </r>
        <r>
          <rPr>
            <sz val="9"/>
            <color indexed="81"/>
            <rFont val="Tahoma"/>
            <family val="2"/>
          </rPr>
          <t xml:space="preserve">
Modificación Acuerdo 006 de 2021. Anteriormente Proyecto 5.1. </t>
        </r>
      </text>
    </comment>
    <comment ref="V10" authorId="0" shapeId="0">
      <text>
        <r>
          <rPr>
            <b/>
            <sz val="9"/>
            <color indexed="81"/>
            <rFont val="Tahoma"/>
            <family val="2"/>
          </rPr>
          <t>Usuario:</t>
        </r>
        <r>
          <rPr>
            <sz val="9"/>
            <color indexed="81"/>
            <rFont val="Tahoma"/>
            <family val="2"/>
          </rPr>
          <t xml:space="preserve">
Se deja señalado en amarrillo los % de avance que se modificaron con el ajuste de la fórmula de la columna 11</t>
        </r>
      </text>
    </comment>
    <comment ref="A11" authorId="1" shapeId="0">
      <text>
        <r>
          <rPr>
            <sz val="11"/>
            <color theme="1"/>
            <rFont val="Arial"/>
            <family val="2"/>
          </rPr>
          <t>Anteriormente 5.1.1</t>
        </r>
      </text>
    </comment>
    <comment ref="A12" authorId="1" shapeId="0">
      <text>
        <r>
          <rPr>
            <sz val="11"/>
            <color theme="1"/>
            <rFont val="Arial"/>
            <family val="2"/>
          </rPr>
          <t>Anteriormente 5.1.2</t>
        </r>
      </text>
    </comment>
    <comment ref="A13" authorId="1" shapeId="0">
      <text>
        <r>
          <rPr>
            <sz val="11"/>
            <color theme="1"/>
            <rFont val="Arial"/>
            <family val="2"/>
          </rPr>
          <t>Se hace un ajuste en el nombre de la actividad 5.1.2(B)</t>
        </r>
      </text>
    </comment>
    <comment ref="A14" authorId="1" shapeId="0">
      <text>
        <r>
          <rPr>
            <sz val="11"/>
            <color theme="1"/>
            <rFont val="Arial"/>
            <family val="2"/>
          </rPr>
          <t>Anteriormente 5.1.3</t>
        </r>
      </text>
    </comment>
    <comment ref="A15" authorId="1" shapeId="0">
      <text>
        <r>
          <rPr>
            <sz val="11"/>
            <color theme="1"/>
            <rFont val="Arial"/>
            <family val="2"/>
          </rPr>
          <t>Anteriormente 5.1.4</t>
        </r>
      </text>
    </comment>
    <comment ref="A16" authorId="1" shapeId="0">
      <text>
        <r>
          <rPr>
            <sz val="11"/>
            <color theme="1"/>
            <rFont val="Arial"/>
            <family val="2"/>
          </rPr>
          <t>Se hace división de la actividad 5.1.5 independizando las acciones</t>
        </r>
      </text>
    </comment>
    <comment ref="A17" authorId="1" shapeId="0">
      <text>
        <r>
          <rPr>
            <sz val="11"/>
            <color theme="1"/>
            <rFont val="Arial"/>
            <family val="2"/>
          </rPr>
          <t xml:space="preserve">Se hace división de la actividad 5.1.5 independizando las acciones </t>
        </r>
      </text>
    </comment>
    <comment ref="A18" authorId="1" shapeId="0">
      <text>
        <r>
          <rPr>
            <sz val="11"/>
            <color theme="1"/>
            <rFont val="Arial"/>
            <family val="2"/>
          </rPr>
          <t xml:space="preserve">Modificación Acuerdo 006 de 2021. Anteriormente Proyecto 4.1. </t>
        </r>
      </text>
    </comment>
    <comment ref="A19" authorId="1" shapeId="0">
      <text>
        <r>
          <rPr>
            <sz val="11"/>
            <color theme="1"/>
            <rFont val="Arial"/>
            <family val="2"/>
          </rPr>
          <t>Anteriormente 4.1.1</t>
        </r>
      </text>
    </comment>
    <comment ref="U19" authorId="0" shapeId="0">
      <text>
        <r>
          <rPr>
            <b/>
            <sz val="9"/>
            <color indexed="81"/>
            <rFont val="Tahoma"/>
            <family val="2"/>
          </rPr>
          <t>Usuario:</t>
        </r>
        <r>
          <rPr>
            <sz val="9"/>
            <color indexed="81"/>
            <rFont val="Tahoma"/>
            <family val="2"/>
          </rPr>
          <t xml:space="preserve">
Se ajusto formato a % y fórmula teniendo en cuenta que la meta no es acumulativa</t>
        </r>
      </text>
    </comment>
    <comment ref="Y19" authorId="1" shapeId="0">
      <text>
        <r>
          <rPr>
            <sz val="11"/>
            <color theme="1"/>
            <rFont val="Arial"/>
            <family val="2"/>
          </rPr>
          <t>Acuerdo 006 de 2021. El presupuesto se reduce a $200 mill, revisar distribución</t>
        </r>
      </text>
    </comment>
    <comment ref="A20" authorId="1" shapeId="0">
      <text>
        <r>
          <rPr>
            <sz val="11"/>
            <color theme="1"/>
            <rFont val="Arial"/>
            <family val="2"/>
          </rPr>
          <t>Anteriormente 4.1.2</t>
        </r>
      </text>
    </comment>
    <comment ref="U20" authorId="0" shapeId="0">
      <text>
        <r>
          <rPr>
            <b/>
            <sz val="9"/>
            <color indexed="81"/>
            <rFont val="Tahoma"/>
            <family val="2"/>
          </rPr>
          <t>Usuario:</t>
        </r>
        <r>
          <rPr>
            <sz val="9"/>
            <color indexed="81"/>
            <rFont val="Tahoma"/>
            <family val="2"/>
          </rPr>
          <t xml:space="preserve">
Se ajusto formato a % y fórmula teniendo en cuenta que la meta no es acumulativa</t>
        </r>
      </text>
    </comment>
    <comment ref="A21" authorId="1" shapeId="0">
      <text>
        <r>
          <rPr>
            <sz val="11"/>
            <color theme="1"/>
            <rFont val="Arial"/>
            <family val="2"/>
          </rPr>
          <t>Anteriormente 4.1.3</t>
        </r>
      </text>
    </comment>
    <comment ref="A22" authorId="1" shapeId="0">
      <text>
        <r>
          <rPr>
            <sz val="11"/>
            <color theme="1"/>
            <rFont val="Arial"/>
            <family val="2"/>
          </rPr>
          <t>Modificación Acuerdo 006 de 2021. Anteriormente Proyecto 4.2.</t>
        </r>
      </text>
    </comment>
    <comment ref="A23" authorId="1" shapeId="0">
      <text>
        <r>
          <rPr>
            <sz val="11"/>
            <color theme="1"/>
            <rFont val="Arial"/>
            <family val="2"/>
          </rPr>
          <t>Anteriormente 4.2.1</t>
        </r>
      </text>
    </comment>
    <comment ref="Y23" authorId="1" shapeId="0">
      <text>
        <r>
          <rPr>
            <sz val="11"/>
            <color theme="1"/>
            <rFont val="Arial"/>
            <family val="2"/>
          </rPr>
          <t>Acuerdo 006 de 2021. El presupuesto aumenta a $500 mill, revisar distribución</t>
        </r>
      </text>
    </comment>
    <comment ref="A24" authorId="1" shapeId="0">
      <text>
        <r>
          <rPr>
            <sz val="11"/>
            <color theme="1"/>
            <rFont val="Arial"/>
            <family val="2"/>
          </rPr>
          <t>Anteriormente 4.2.2</t>
        </r>
      </text>
    </comment>
    <comment ref="A25" authorId="1" shapeId="0">
      <text>
        <r>
          <rPr>
            <sz val="11"/>
            <color theme="1"/>
            <rFont val="Arial"/>
            <family val="2"/>
          </rPr>
          <t>Anteriormente 4.2.3</t>
        </r>
      </text>
    </comment>
    <comment ref="U25" authorId="0" shapeId="0">
      <text>
        <r>
          <rPr>
            <b/>
            <sz val="9"/>
            <color indexed="81"/>
            <rFont val="Tahoma"/>
            <family val="2"/>
          </rPr>
          <t>Usuario:</t>
        </r>
        <r>
          <rPr>
            <sz val="9"/>
            <color indexed="81"/>
            <rFont val="Tahoma"/>
            <family val="2"/>
          </rPr>
          <t xml:space="preserve">
Se ajusto formato a % y fórmula teniendo en cuenta que la meta no es acumulativa</t>
        </r>
      </text>
    </comment>
    <comment ref="A26" authorId="1" shapeId="0">
      <text>
        <r>
          <rPr>
            <sz val="11"/>
            <color theme="1"/>
            <rFont val="Arial"/>
            <family val="2"/>
          </rPr>
          <t>Anteriormente 4.2.4. Se cambia el nombre de la actividad</t>
        </r>
      </text>
    </comment>
    <comment ref="U26" authorId="0" shapeId="0">
      <text>
        <r>
          <rPr>
            <b/>
            <sz val="9"/>
            <color indexed="81"/>
            <rFont val="Tahoma"/>
            <family val="2"/>
          </rPr>
          <t>Usuario:</t>
        </r>
        <r>
          <rPr>
            <sz val="9"/>
            <color indexed="81"/>
            <rFont val="Tahoma"/>
            <family val="2"/>
          </rPr>
          <t xml:space="preserve">
Se ajusto fórmula teniendo en cuenta que la meta no es acumulativa</t>
        </r>
      </text>
    </comment>
    <comment ref="A27" authorId="1" shapeId="0">
      <text>
        <r>
          <rPr>
            <sz val="11"/>
            <color theme="1"/>
            <rFont val="Arial"/>
            <family val="2"/>
          </rPr>
          <t>Anteriormente 4.2.4 b</t>
        </r>
      </text>
    </comment>
    <comment ref="U27" authorId="0" shapeId="0">
      <text>
        <r>
          <rPr>
            <b/>
            <sz val="9"/>
            <color indexed="81"/>
            <rFont val="Tahoma"/>
            <family val="2"/>
          </rPr>
          <t>Usuario:</t>
        </r>
        <r>
          <rPr>
            <sz val="9"/>
            <color indexed="81"/>
            <rFont val="Tahoma"/>
            <family val="2"/>
          </rPr>
          <t xml:space="preserve">
Se ajusto formato a % y fórmula teniendo en cuenta que la meta no es acumulativa</t>
        </r>
      </text>
    </comment>
    <comment ref="A28" authorId="1" shapeId="0">
      <text>
        <r>
          <rPr>
            <sz val="11"/>
            <color theme="1"/>
            <rFont val="Arial"/>
            <family val="2"/>
          </rPr>
          <t>Anteriormente 4.2.5</t>
        </r>
      </text>
    </comment>
    <comment ref="A29" authorId="1" shapeId="0">
      <text>
        <r>
          <rPr>
            <sz val="11"/>
            <color theme="1"/>
            <rFont val="Arial"/>
            <family val="2"/>
          </rPr>
          <t>Anteriormente 4.2.6</t>
        </r>
      </text>
    </comment>
    <comment ref="A30" authorId="1" shapeId="0">
      <text>
        <r>
          <rPr>
            <sz val="11"/>
            <color theme="1"/>
            <rFont val="Arial"/>
            <family val="2"/>
          </rPr>
          <t>Modificación Acuerdo 006 de 2021. Anteriormente Proyecto 4.3.</t>
        </r>
      </text>
    </comment>
    <comment ref="A31" authorId="1" shapeId="0">
      <text>
        <r>
          <rPr>
            <sz val="11"/>
            <color theme="1"/>
            <rFont val="Arial"/>
            <family val="2"/>
          </rPr>
          <t>Anteriormente 4.3.1</t>
        </r>
      </text>
    </comment>
    <comment ref="Y31" authorId="1" shapeId="0">
      <text>
        <r>
          <rPr>
            <sz val="11"/>
            <color theme="1"/>
            <rFont val="Arial"/>
            <family val="2"/>
          </rPr>
          <t>Acuerdo 006 de 2021. El presupuesto se reduce a $200 mill, revisar distribución</t>
        </r>
      </text>
    </comment>
    <comment ref="A32" authorId="1" shapeId="0">
      <text>
        <r>
          <rPr>
            <sz val="11"/>
            <color theme="1"/>
            <rFont val="Arial"/>
            <family val="2"/>
          </rPr>
          <t>Anteriormente 4.3.2</t>
        </r>
      </text>
    </comment>
    <comment ref="A33" authorId="1" shapeId="0">
      <text>
        <r>
          <rPr>
            <sz val="11"/>
            <color theme="1"/>
            <rFont val="Arial"/>
            <family val="2"/>
          </rPr>
          <t>Anteriormente 4.3.3</t>
        </r>
      </text>
    </comment>
    <comment ref="A34" authorId="1" shapeId="0">
      <text>
        <r>
          <rPr>
            <sz val="11"/>
            <color theme="1"/>
            <rFont val="Arial"/>
            <family val="2"/>
          </rPr>
          <t>Anteriormente 4.3.4</t>
        </r>
      </text>
    </comment>
    <comment ref="U34" authorId="0" shapeId="0">
      <text>
        <r>
          <rPr>
            <b/>
            <sz val="9"/>
            <color indexed="81"/>
            <rFont val="Tahoma"/>
            <family val="2"/>
          </rPr>
          <t>Usuario:</t>
        </r>
        <r>
          <rPr>
            <sz val="9"/>
            <color indexed="81"/>
            <rFont val="Tahoma"/>
            <family val="2"/>
          </rPr>
          <t xml:space="preserve">
Se ajusto formato a % y fórmula teniendo en cuenta que la meta no es acumulativa</t>
        </r>
      </text>
    </comment>
    <comment ref="A35" authorId="1" shapeId="0">
      <text>
        <r>
          <rPr>
            <sz val="11"/>
            <color theme="1"/>
            <rFont val="Arial"/>
            <family val="2"/>
          </rPr>
          <t>Anteriormente 4.3.5</t>
        </r>
      </text>
    </comment>
    <comment ref="U35" authorId="0" shapeId="0">
      <text>
        <r>
          <rPr>
            <b/>
            <sz val="9"/>
            <color indexed="81"/>
            <rFont val="Tahoma"/>
            <family val="2"/>
          </rPr>
          <t>Usuario:</t>
        </r>
        <r>
          <rPr>
            <sz val="9"/>
            <color indexed="81"/>
            <rFont val="Tahoma"/>
            <family val="2"/>
          </rPr>
          <t xml:space="preserve">
Se ajusto formato a %</t>
        </r>
      </text>
    </comment>
    <comment ref="A36" authorId="1" shapeId="0">
      <text>
        <r>
          <rPr>
            <sz val="11"/>
            <color theme="1"/>
            <rFont val="Arial"/>
            <family val="2"/>
          </rPr>
          <t>Modificación Acuerdo 006 de 2021. Anteriormente Proyecto 4.4.</t>
        </r>
      </text>
    </comment>
    <comment ref="A37" authorId="1" shapeId="0">
      <text>
        <r>
          <rPr>
            <sz val="11"/>
            <color theme="1"/>
            <rFont val="Arial"/>
            <family val="2"/>
          </rPr>
          <t>Anteriormente 4.4.1</t>
        </r>
      </text>
    </comment>
    <comment ref="Y37" authorId="1" shapeId="0">
      <text>
        <r>
          <rPr>
            <sz val="11"/>
            <color theme="1"/>
            <rFont val="Arial"/>
            <family val="2"/>
          </rPr>
          <t>Acuerdo 006 de 2021. El presupuesto aumenta a $800 mill, revisar distribución</t>
        </r>
      </text>
    </comment>
    <comment ref="A38" authorId="1" shapeId="0">
      <text>
        <r>
          <rPr>
            <sz val="11"/>
            <color theme="1"/>
            <rFont val="Arial"/>
            <family val="2"/>
          </rPr>
          <t>Anteriormente 4.4.3</t>
        </r>
      </text>
    </comment>
    <comment ref="A39" authorId="1" shapeId="0">
      <text>
        <r>
          <rPr>
            <sz val="11"/>
            <color theme="1"/>
            <rFont val="Arial"/>
            <family val="2"/>
          </rPr>
          <t>Anteriormente 4.4.2</t>
        </r>
      </text>
    </comment>
    <comment ref="U39" authorId="0" shapeId="0">
      <text>
        <r>
          <rPr>
            <b/>
            <sz val="9"/>
            <color indexed="81"/>
            <rFont val="Tahoma"/>
            <family val="2"/>
          </rPr>
          <t>Usuario:</t>
        </r>
        <r>
          <rPr>
            <sz val="9"/>
            <color indexed="81"/>
            <rFont val="Tahoma"/>
            <family val="2"/>
          </rPr>
          <t xml:space="preserve">
Se ajusto fórmula teniendo en cuenta que no es acumulativa</t>
        </r>
      </text>
    </comment>
    <comment ref="A40" authorId="1" shapeId="0">
      <text>
        <r>
          <rPr>
            <sz val="11"/>
            <color theme="1"/>
            <rFont val="Arial"/>
            <family val="2"/>
          </rPr>
          <t>Anteriormente 4.4.5</t>
        </r>
      </text>
    </comment>
    <comment ref="A41" authorId="1" shapeId="0">
      <text>
        <r>
          <rPr>
            <sz val="11"/>
            <color theme="1"/>
            <rFont val="Arial"/>
            <family val="2"/>
          </rPr>
          <t>Anteriormente 4.4.4</t>
        </r>
      </text>
    </comment>
    <comment ref="U41" authorId="0" shapeId="0">
      <text>
        <r>
          <rPr>
            <b/>
            <sz val="9"/>
            <color indexed="81"/>
            <rFont val="Tahoma"/>
            <family val="2"/>
          </rPr>
          <t>Usuario:</t>
        </r>
        <r>
          <rPr>
            <sz val="9"/>
            <color indexed="81"/>
            <rFont val="Tahoma"/>
            <family val="2"/>
          </rPr>
          <t xml:space="preserve">
Se ajusto formato a % y fórmula teniendo en cuenta que la meta no es acumulativa</t>
        </r>
      </text>
    </comment>
    <comment ref="A42" authorId="1" shapeId="0">
      <text>
        <r>
          <rPr>
            <sz val="11"/>
            <color theme="1"/>
            <rFont val="Arial"/>
            <family val="2"/>
          </rPr>
          <t>Modificación Acuerdo 006 de 2021. Anteriormente Proyecto 4.5.</t>
        </r>
      </text>
    </comment>
    <comment ref="A43" authorId="1" shapeId="0">
      <text>
        <r>
          <rPr>
            <sz val="11"/>
            <color theme="1"/>
            <rFont val="Arial"/>
            <family val="2"/>
          </rPr>
          <t>Anteriormente 4.5.1</t>
        </r>
      </text>
    </comment>
    <comment ref="Y43" authorId="1" shapeId="0">
      <text>
        <r>
          <rPr>
            <sz val="11"/>
            <color theme="1"/>
            <rFont val="Arial"/>
            <family val="2"/>
          </rPr>
          <t>Acuerdo 006 de 2021. El presupuesto se reduce a $2500 mill, revisar distribución</t>
        </r>
      </text>
    </comment>
    <comment ref="A44" authorId="1" shapeId="0">
      <text>
        <r>
          <rPr>
            <sz val="11"/>
            <color theme="1"/>
            <rFont val="Arial"/>
            <family val="2"/>
          </rPr>
          <t>Anteriormente 4.5.3</t>
        </r>
      </text>
    </comment>
    <comment ref="U44" authorId="0" shapeId="0">
      <text>
        <r>
          <rPr>
            <b/>
            <sz val="9"/>
            <color indexed="81"/>
            <rFont val="Tahoma"/>
            <family val="2"/>
          </rPr>
          <t>Usuario:</t>
        </r>
        <r>
          <rPr>
            <sz val="9"/>
            <color indexed="81"/>
            <rFont val="Tahoma"/>
            <family val="2"/>
          </rPr>
          <t xml:space="preserve">
Se ajusto fórmula teniendo en cuenta que no es acumulativa</t>
        </r>
      </text>
    </comment>
    <comment ref="A45" authorId="1" shapeId="0">
      <text>
        <r>
          <rPr>
            <sz val="11"/>
            <color theme="1"/>
            <rFont val="Arial"/>
            <family val="2"/>
          </rPr>
          <t>Anteriormente 4.5.4. Se ajusta nombre de la actividad</t>
        </r>
      </text>
    </comment>
    <comment ref="A46" authorId="1" shapeId="0">
      <text>
        <r>
          <rPr>
            <sz val="11"/>
            <color theme="1"/>
            <rFont val="Arial"/>
            <family val="2"/>
          </rPr>
          <t>Anteriormente 4.5.2</t>
        </r>
      </text>
    </comment>
    <comment ref="U46" authorId="0" shapeId="0">
      <text>
        <r>
          <rPr>
            <b/>
            <sz val="9"/>
            <color indexed="81"/>
            <rFont val="Tahoma"/>
            <family val="2"/>
          </rPr>
          <t>Usuario:</t>
        </r>
        <r>
          <rPr>
            <sz val="9"/>
            <color indexed="81"/>
            <rFont val="Tahoma"/>
            <family val="2"/>
          </rPr>
          <t xml:space="preserve">
Se ajusto valor, teniendo en cuenta que la meta de la anualidad acumula el valor de la vigencia anterior</t>
        </r>
      </text>
    </comment>
    <comment ref="A47" authorId="1" shapeId="0">
      <text>
        <r>
          <rPr>
            <sz val="11"/>
            <color theme="1"/>
            <rFont val="Arial"/>
            <family val="2"/>
          </rPr>
          <t>Anteriormente 4.5.4</t>
        </r>
      </text>
    </comment>
    <comment ref="A48" authorId="1" shapeId="0">
      <text>
        <r>
          <rPr>
            <sz val="11"/>
            <color theme="1"/>
            <rFont val="Arial"/>
            <family val="2"/>
          </rPr>
          <t>Anteriormente 4.5.5. Se ajusta nombre de la actividad</t>
        </r>
      </text>
    </comment>
    <comment ref="A49" authorId="1" shapeId="0">
      <text>
        <r>
          <rPr>
            <sz val="11"/>
            <color theme="1"/>
            <rFont val="Arial"/>
            <family val="2"/>
          </rPr>
          <t>Anteriormente 4.5.7</t>
        </r>
      </text>
    </comment>
    <comment ref="A50" authorId="1" shapeId="0">
      <text>
        <r>
          <rPr>
            <sz val="11"/>
            <color theme="1"/>
            <rFont val="Arial"/>
            <family val="2"/>
          </rPr>
          <t>Anteriormente 4.5.5. Se ajusta nombre de la actividad</t>
        </r>
      </text>
    </comment>
    <comment ref="U50" authorId="0" shapeId="0">
      <text>
        <r>
          <rPr>
            <b/>
            <sz val="9"/>
            <color indexed="81"/>
            <rFont val="Tahoma"/>
            <family val="2"/>
          </rPr>
          <t>Usuario:</t>
        </r>
        <r>
          <rPr>
            <sz val="9"/>
            <color indexed="81"/>
            <rFont val="Tahoma"/>
            <family val="2"/>
          </rPr>
          <t xml:space="preserve">
Se ajusto valor, teniendo en cuenta que la meta de la anualidad acumula el valor de la vigencia anterior. Sin embargo, revisar si la interpretación realizada es correcta.</t>
        </r>
      </text>
    </comment>
    <comment ref="A51" authorId="1" shapeId="0">
      <text>
        <r>
          <rPr>
            <sz val="11"/>
            <color theme="1"/>
            <rFont val="Arial"/>
            <family val="2"/>
          </rPr>
          <t>Anteriormente 4.5.6</t>
        </r>
      </text>
    </comment>
    <comment ref="U51" authorId="0" shapeId="0">
      <text>
        <r>
          <rPr>
            <b/>
            <sz val="9"/>
            <color indexed="81"/>
            <rFont val="Tahoma"/>
            <family val="2"/>
          </rPr>
          <t>Usuario:</t>
        </r>
        <r>
          <rPr>
            <sz val="9"/>
            <color indexed="81"/>
            <rFont val="Tahoma"/>
            <family val="2"/>
          </rPr>
          <t xml:space="preserve">
Se ajusto formato a % y fórmula teniendo en cuenta que la meta no es acumulativa</t>
        </r>
      </text>
    </comment>
    <comment ref="A52" authorId="0" shapeId="0">
      <text>
        <r>
          <rPr>
            <b/>
            <sz val="9"/>
            <color indexed="81"/>
            <rFont val="Tahoma"/>
            <family val="2"/>
          </rPr>
          <t>Usuario:</t>
        </r>
        <r>
          <rPr>
            <sz val="9"/>
            <color indexed="81"/>
            <rFont val="Tahoma"/>
            <family val="2"/>
          </rPr>
          <t xml:space="preserve">
Acuerdo 006 del 26 de julio 2021. Agrupa los proyecto 2.1 a 2.3 del programa 2. GESTIÓN INTEGRAL DEL RIESGO AMBIENTAL,  CLIMÁTICO, Y DEL RECURSO HÍDRICO con el 3206.
Adicionalmente, modifica la alineación con la LE del PGAR pasando de la Linea 3 a la 4</t>
        </r>
      </text>
    </comment>
    <comment ref="A53" authorId="1" shapeId="0">
      <text>
        <r>
          <rPr>
            <sz val="11"/>
            <color theme="1"/>
            <rFont val="Arial"/>
            <family val="2"/>
          </rPr>
          <t>Modificación Acuerdo 006 de 2021. Anteriormente Proyecto 2.1</t>
        </r>
      </text>
    </comment>
    <comment ref="A54" authorId="1" shapeId="0">
      <text>
        <r>
          <rPr>
            <sz val="11"/>
            <color theme="1"/>
            <rFont val="Arial"/>
            <family val="2"/>
          </rPr>
          <t>Anteriormente 2.1.1</t>
        </r>
      </text>
    </comment>
    <comment ref="Y54" authorId="1" shapeId="0">
      <text>
        <r>
          <rPr>
            <sz val="11"/>
            <color theme="1"/>
            <rFont val="Arial"/>
            <family val="2"/>
          </rPr>
          <t>Acuerdo 006 de 2021. El presupuesto se reduce a $400 mill, revisar distribución</t>
        </r>
      </text>
    </comment>
    <comment ref="A55" authorId="1" shapeId="0">
      <text>
        <r>
          <rPr>
            <sz val="11"/>
            <color theme="1"/>
            <rFont val="Arial"/>
            <family val="2"/>
          </rPr>
          <t>Anteriormente 2.1.2</t>
        </r>
      </text>
    </comment>
    <comment ref="U55" authorId="0" shapeId="0">
      <text>
        <r>
          <rPr>
            <b/>
            <sz val="9"/>
            <color indexed="81"/>
            <rFont val="Tahoma"/>
            <family val="2"/>
          </rPr>
          <t>Usuario:</t>
        </r>
        <r>
          <rPr>
            <sz val="9"/>
            <color indexed="81"/>
            <rFont val="Tahoma"/>
            <family val="2"/>
          </rPr>
          <t xml:space="preserve">
Se ajusto formato a %</t>
        </r>
      </text>
    </comment>
    <comment ref="A56" authorId="1" shapeId="0">
      <text>
        <r>
          <rPr>
            <sz val="11"/>
            <color theme="1"/>
            <rFont val="Arial"/>
            <family val="2"/>
          </rPr>
          <t>Anteriormente 2.1.3</t>
        </r>
      </text>
    </comment>
    <comment ref="U56" authorId="0" shapeId="0">
      <text>
        <r>
          <rPr>
            <b/>
            <sz val="9"/>
            <color indexed="81"/>
            <rFont val="Tahoma"/>
            <family val="2"/>
          </rPr>
          <t>Usuario:</t>
        </r>
        <r>
          <rPr>
            <sz val="9"/>
            <color indexed="81"/>
            <rFont val="Tahoma"/>
            <family val="2"/>
          </rPr>
          <t xml:space="preserve">
Se ajusto formato a % y fórmula teniendo en cuenta que la meta no es acumulativa</t>
        </r>
      </text>
    </comment>
    <comment ref="A57" authorId="1" shapeId="0">
      <text>
        <r>
          <rPr>
            <sz val="11"/>
            <color theme="1"/>
            <rFont val="Arial"/>
            <family val="2"/>
          </rPr>
          <t>Modificación Acuerdo 006 de 2021. Anteriormente Proyecto 2.2</t>
        </r>
      </text>
    </comment>
    <comment ref="A58" authorId="1" shapeId="0">
      <text>
        <r>
          <rPr>
            <sz val="11"/>
            <color theme="1"/>
            <rFont val="Arial"/>
            <family val="2"/>
          </rPr>
          <t>Anteriormente 2.2.1</t>
        </r>
      </text>
    </comment>
    <comment ref="T58" authorId="0" shapeId="0">
      <text>
        <r>
          <rPr>
            <b/>
            <sz val="9"/>
            <color indexed="81"/>
            <rFont val="Tahoma"/>
            <family val="2"/>
          </rPr>
          <t>Usuario:</t>
        </r>
        <r>
          <rPr>
            <sz val="9"/>
            <color indexed="81"/>
            <rFont val="Tahoma"/>
            <family val="2"/>
          </rPr>
          <t xml:space="preserve">
Revisar, en la matriz que tengo como Anexo al Acuerdo 006 la meta global es 100%</t>
        </r>
      </text>
    </comment>
    <comment ref="U58" authorId="0" shapeId="0">
      <text>
        <r>
          <rPr>
            <b/>
            <sz val="9"/>
            <color indexed="81"/>
            <rFont val="Tahoma"/>
            <family val="2"/>
          </rPr>
          <t>Usuario:</t>
        </r>
        <r>
          <rPr>
            <sz val="9"/>
            <color indexed="81"/>
            <rFont val="Tahoma"/>
            <family val="2"/>
          </rPr>
          <t xml:space="preserve">
Se ajusto valor, teniendo en cuenta que la meta de la anualidad acumula el valor de la vigencia anterior. Sin embargo, revisar si la interpretación realizada es correcta.</t>
        </r>
      </text>
    </comment>
    <comment ref="Y58" authorId="1" shapeId="0">
      <text>
        <r>
          <rPr>
            <sz val="11"/>
            <color theme="1"/>
            <rFont val="Arial"/>
            <family val="2"/>
          </rPr>
          <t>Acuerdo 006 de 2021. El presupuesto se reduce a $200 mill, revisar distribución</t>
        </r>
      </text>
    </comment>
    <comment ref="A59" authorId="1" shapeId="0">
      <text>
        <r>
          <rPr>
            <sz val="11"/>
            <color theme="1"/>
            <rFont val="Arial"/>
            <family val="2"/>
          </rPr>
          <t>Anteriormente 2.2.2</t>
        </r>
      </text>
    </comment>
    <comment ref="U59" authorId="0" shapeId="0">
      <text>
        <r>
          <rPr>
            <b/>
            <sz val="9"/>
            <color indexed="81"/>
            <rFont val="Tahoma"/>
            <family val="2"/>
          </rPr>
          <t>Usuario:</t>
        </r>
        <r>
          <rPr>
            <sz val="9"/>
            <color indexed="81"/>
            <rFont val="Tahoma"/>
            <family val="2"/>
          </rPr>
          <t xml:space="preserve">
Se ajusto formato a %</t>
        </r>
      </text>
    </comment>
    <comment ref="A60" authorId="1" shapeId="0">
      <text>
        <r>
          <rPr>
            <sz val="11"/>
            <color theme="1"/>
            <rFont val="Arial"/>
            <family val="2"/>
          </rPr>
          <t>Anteriormente 2.2.3</t>
        </r>
      </text>
    </comment>
    <comment ref="A61" authorId="1" shapeId="0">
      <text>
        <r>
          <rPr>
            <sz val="11"/>
            <color theme="1"/>
            <rFont val="Arial"/>
            <family val="2"/>
          </rPr>
          <t>Modificación Acuerdo 006 de 2021. Anteriormente Proyecto 2.3</t>
        </r>
      </text>
    </comment>
    <comment ref="A62" authorId="1" shapeId="0">
      <text>
        <r>
          <rPr>
            <sz val="11"/>
            <color theme="1"/>
            <rFont val="Arial"/>
            <family val="2"/>
          </rPr>
          <t>Anteriormente 2.3.1</t>
        </r>
      </text>
    </comment>
    <comment ref="T62" authorId="0" shapeId="0">
      <text>
        <r>
          <rPr>
            <b/>
            <sz val="9"/>
            <color indexed="81"/>
            <rFont val="Tahoma"/>
            <family val="2"/>
          </rPr>
          <t>Usuario:</t>
        </r>
        <r>
          <rPr>
            <sz val="9"/>
            <color indexed="81"/>
            <rFont val="Tahoma"/>
            <family val="2"/>
          </rPr>
          <t xml:space="preserve">
Revisar, en la matriz que tengo como Anexo al Acuerdo 006 la meta global es 3</t>
        </r>
      </text>
    </comment>
    <comment ref="Y62" authorId="1" shapeId="0">
      <text>
        <r>
          <rPr>
            <sz val="11"/>
            <color theme="1"/>
            <rFont val="Arial"/>
            <family val="2"/>
          </rPr>
          <t>Acuerdo 006 de 2021. El presupuesto se reduce a $1500 mill, revisar distribución</t>
        </r>
      </text>
    </comment>
    <comment ref="A63" authorId="1" shapeId="0">
      <text>
        <r>
          <rPr>
            <sz val="11"/>
            <color theme="1"/>
            <rFont val="Arial"/>
            <family val="2"/>
          </rPr>
          <t>Anteriormente 2.3.2</t>
        </r>
      </text>
    </comment>
    <comment ref="U63" authorId="0" shapeId="0">
      <text>
        <r>
          <rPr>
            <b/>
            <sz val="9"/>
            <color indexed="81"/>
            <rFont val="Tahoma"/>
            <family val="2"/>
          </rPr>
          <t>Usuario:</t>
        </r>
        <r>
          <rPr>
            <sz val="9"/>
            <color indexed="81"/>
            <rFont val="Tahoma"/>
            <family val="2"/>
          </rPr>
          <t xml:space="preserve">
Se ajusto valor, teniendo en cuenta que la meta de la anualidad acumula el valor de la vigencia anterior. Sin embargo, revisar si la interpretación realizada es correcta.</t>
        </r>
      </text>
    </comment>
    <comment ref="A64" authorId="1" shapeId="0">
      <text>
        <r>
          <rPr>
            <sz val="11"/>
            <color theme="1"/>
            <rFont val="Arial"/>
            <family val="2"/>
          </rPr>
          <t>Anteriormente 2.3.3</t>
        </r>
      </text>
    </comment>
    <comment ref="U64" authorId="0" shapeId="0">
      <text>
        <r>
          <rPr>
            <b/>
            <sz val="9"/>
            <color indexed="81"/>
            <rFont val="Tahoma"/>
            <family val="2"/>
          </rPr>
          <t>Usuario:</t>
        </r>
        <r>
          <rPr>
            <sz val="9"/>
            <color indexed="81"/>
            <rFont val="Tahoma"/>
            <family val="2"/>
          </rPr>
          <t xml:space="preserve">
Se ajusto, se encontraba sin f´romula y con un valor de 1.</t>
        </r>
      </text>
    </comment>
    <comment ref="A65" authorId="1" shapeId="0">
      <text>
        <r>
          <rPr>
            <sz val="11"/>
            <color theme="1"/>
            <rFont val="Arial"/>
            <family val="2"/>
          </rPr>
          <t>Anteriormente 2.3.3</t>
        </r>
      </text>
    </comment>
    <comment ref="U65" authorId="0" shapeId="0">
      <text>
        <r>
          <rPr>
            <b/>
            <sz val="9"/>
            <color indexed="81"/>
            <rFont val="Tahoma"/>
            <family val="2"/>
          </rPr>
          <t>Usuario:</t>
        </r>
        <r>
          <rPr>
            <sz val="9"/>
            <color indexed="81"/>
            <rFont val="Tahoma"/>
            <family val="2"/>
          </rPr>
          <t xml:space="preserve">
Se ajusto, se encontraba sin f´romula y con un valor de 1.</t>
        </r>
      </text>
    </comment>
    <comment ref="A67" authorId="1" shapeId="0">
      <text>
        <r>
          <rPr>
            <sz val="11"/>
            <color theme="1"/>
            <rFont val="Arial"/>
            <family val="2"/>
          </rPr>
          <t>Acuerdo 006 del 26 de julio 2021. agrupa Programa 1. RESTAURACIÓN ECOLÓGICA VERIFICABLE Y SUSTENTABLE y Programa 5. PROTECCION DE LA BIODIVERSIDAD PARA SOSTENIBILIDAD DE SERVICIOS ECOSISTÉMICOS Y SUSTENTABILIDAD DEL DESARROLLO en el programa 3202, conservanco a articulación con la L.E 5</t>
        </r>
      </text>
    </comment>
    <comment ref="A68" authorId="1" shapeId="0">
      <text>
        <r>
          <rPr>
            <sz val="11"/>
            <color theme="1"/>
            <rFont val="Arial"/>
            <family val="2"/>
          </rPr>
          <t>Modificación Acuerdo 006 de 2021. Anteriormente Proyecto 1.1</t>
        </r>
      </text>
    </comment>
    <comment ref="A69" authorId="1" shapeId="0">
      <text>
        <r>
          <rPr>
            <sz val="11"/>
            <color theme="1"/>
            <rFont val="Arial"/>
            <family val="2"/>
          </rPr>
          <t>Anteriormente 1.1.1</t>
        </r>
      </text>
    </comment>
    <comment ref="Y69" authorId="1" shapeId="0">
      <text>
        <r>
          <rPr>
            <sz val="11"/>
            <color theme="1"/>
            <rFont val="Arial"/>
            <family val="2"/>
          </rPr>
          <t>Acuerdo 006 de 2021. El presupuesto aumenta a $1961942882, revisar distribución</t>
        </r>
      </text>
    </comment>
    <comment ref="A70" authorId="1" shapeId="0">
      <text>
        <r>
          <rPr>
            <sz val="11"/>
            <color theme="1"/>
            <rFont val="Arial"/>
            <family val="2"/>
          </rPr>
          <t>Anteriormente 1.1.2. se amplia nombre de la actividad</t>
        </r>
      </text>
    </comment>
    <comment ref="A71" authorId="1" shapeId="0">
      <text>
        <r>
          <rPr>
            <sz val="11"/>
            <color theme="1"/>
            <rFont val="Arial"/>
            <family val="2"/>
          </rPr>
          <t>Anteriormente 1.1.3</t>
        </r>
      </text>
    </comment>
    <comment ref="A72" authorId="1" shapeId="0">
      <text>
        <r>
          <rPr>
            <sz val="11"/>
            <color theme="1"/>
            <rFont val="Arial"/>
            <family val="2"/>
          </rPr>
          <t>Anteriormente 1.1.4</t>
        </r>
      </text>
    </comment>
    <comment ref="B72" authorId="0" shapeId="0">
      <text>
        <r>
          <rPr>
            <b/>
            <sz val="9"/>
            <color indexed="81"/>
            <rFont val="Tahoma"/>
            <family val="2"/>
          </rPr>
          <t>Usuario:</t>
        </r>
        <r>
          <rPr>
            <sz val="9"/>
            <color indexed="81"/>
            <rFont val="Tahoma"/>
            <family val="2"/>
          </rPr>
          <t xml:space="preserve">
Se modifico indicador</t>
        </r>
      </text>
    </comment>
    <comment ref="A73" authorId="1" shapeId="0">
      <text>
        <r>
          <rPr>
            <sz val="11"/>
            <color theme="1"/>
            <rFont val="Arial"/>
            <family val="2"/>
          </rPr>
          <t>Modificación Acuerdo 006 de 2021. Anteriormente Proyecto 1.2</t>
        </r>
      </text>
    </comment>
    <comment ref="A74" authorId="1" shapeId="0">
      <text>
        <r>
          <rPr>
            <sz val="11"/>
            <color theme="1"/>
            <rFont val="Arial"/>
            <family val="2"/>
          </rPr>
          <t>Anteriormente 1.2.1</t>
        </r>
      </text>
    </comment>
    <comment ref="Y74" authorId="1" shapeId="0">
      <text>
        <r>
          <rPr>
            <sz val="11"/>
            <color theme="1"/>
            <rFont val="Arial"/>
            <family val="2"/>
          </rPr>
          <t>Acuerdo 006 de 2021. El presupuesto se reduce a $400 mill, revisar distribución</t>
        </r>
      </text>
    </comment>
    <comment ref="A75" authorId="1" shapeId="0">
      <text>
        <r>
          <rPr>
            <sz val="11"/>
            <color theme="1"/>
            <rFont val="Arial"/>
            <family val="2"/>
          </rPr>
          <t>Anteriormente 1.2.2</t>
        </r>
      </text>
    </comment>
    <comment ref="U75" authorId="0" shapeId="0">
      <text>
        <r>
          <rPr>
            <b/>
            <sz val="9"/>
            <color indexed="81"/>
            <rFont val="Tahoma"/>
            <family val="2"/>
          </rPr>
          <t>Usuario:</t>
        </r>
        <r>
          <rPr>
            <sz val="9"/>
            <color indexed="81"/>
            <rFont val="Tahoma"/>
            <family val="2"/>
          </rPr>
          <t xml:space="preserve">
Se ajusto formato a %</t>
        </r>
      </text>
    </comment>
    <comment ref="A76" authorId="1" shapeId="0">
      <text>
        <r>
          <rPr>
            <sz val="11"/>
            <color theme="1"/>
            <rFont val="Arial"/>
            <family val="2"/>
          </rPr>
          <t>Anteriormente 1.2.3</t>
        </r>
      </text>
    </comment>
    <comment ref="A77" authorId="1" shapeId="0">
      <text>
        <r>
          <rPr>
            <sz val="11"/>
            <color theme="1"/>
            <rFont val="Arial"/>
            <family val="2"/>
          </rPr>
          <t>Anteriormente 1.2.4</t>
        </r>
      </text>
    </comment>
    <comment ref="A78" authorId="1" shapeId="0">
      <text>
        <r>
          <rPr>
            <sz val="11"/>
            <color theme="1"/>
            <rFont val="Arial"/>
            <family val="2"/>
          </rPr>
          <t>Modificación Acuerdo 006 de 2021. Anteriormente Proyecto 5.2</t>
        </r>
      </text>
    </comment>
    <comment ref="A79" authorId="1" shapeId="0">
      <text>
        <r>
          <rPr>
            <sz val="11"/>
            <color theme="1"/>
            <rFont val="Arial"/>
            <family val="2"/>
          </rPr>
          <t>Anteriormente 5.2.1</t>
        </r>
      </text>
    </comment>
    <comment ref="U79" authorId="0" shapeId="0">
      <text>
        <r>
          <rPr>
            <b/>
            <sz val="9"/>
            <color indexed="81"/>
            <rFont val="Tahoma"/>
            <family val="2"/>
          </rPr>
          <t>Usuario:</t>
        </r>
        <r>
          <rPr>
            <sz val="9"/>
            <color indexed="81"/>
            <rFont val="Tahoma"/>
            <family val="2"/>
          </rPr>
          <t xml:space="preserve">
Se ajusto formato a % y fórmula teniendo en cuenta que la meta no es acumulativa</t>
        </r>
      </text>
    </comment>
    <comment ref="A80" authorId="1" shapeId="0">
      <text>
        <r>
          <rPr>
            <sz val="11"/>
            <color theme="1"/>
            <rFont val="Arial"/>
            <family val="2"/>
          </rPr>
          <t>Anteriormente 5.2.3. se dividio la actividad para independizar las acciones que contemplaba.
Quedo con código duplicado</t>
        </r>
      </text>
    </comment>
    <comment ref="J80" authorId="0" shapeId="0">
      <text>
        <r>
          <rPr>
            <b/>
            <sz val="9"/>
            <color indexed="81"/>
            <rFont val="Tahoma"/>
            <family val="2"/>
          </rPr>
          <t>Usuario:</t>
        </r>
        <r>
          <rPr>
            <sz val="9"/>
            <color indexed="81"/>
            <rFont val="Tahoma"/>
            <family val="2"/>
          </rPr>
          <t xml:space="preserve">
Habia una meta de espacios?</t>
        </r>
      </text>
    </comment>
    <comment ref="U80" authorId="0" shapeId="0">
      <text>
        <r>
          <rPr>
            <b/>
            <sz val="9"/>
            <color indexed="81"/>
            <rFont val="Tahoma"/>
            <family val="2"/>
          </rPr>
          <t>Usuario:</t>
        </r>
        <r>
          <rPr>
            <sz val="9"/>
            <color indexed="81"/>
            <rFont val="Tahoma"/>
            <family val="2"/>
          </rPr>
          <t xml:space="preserve">
Se ajusto formato a % y fórmula teniendo en cuenta que la meta no es acumulativa</t>
        </r>
      </text>
    </comment>
    <comment ref="A81" authorId="1" shapeId="0">
      <text>
        <r>
          <rPr>
            <sz val="11"/>
            <color theme="1"/>
            <rFont val="Arial"/>
            <family val="2"/>
          </rPr>
          <t>Anteriormente 5.2.3. se dividio la actividad para independizar las acciones que contemplaba.
Quedo con Código duplicado</t>
        </r>
      </text>
    </comment>
    <comment ref="U81" authorId="0" shapeId="0">
      <text>
        <r>
          <rPr>
            <b/>
            <sz val="9"/>
            <color indexed="81"/>
            <rFont val="Tahoma"/>
            <family val="2"/>
          </rPr>
          <t>Usuario:</t>
        </r>
        <r>
          <rPr>
            <sz val="9"/>
            <color indexed="81"/>
            <rFont val="Tahoma"/>
            <family val="2"/>
          </rPr>
          <t xml:space="preserve">
Se ajusto formato a %</t>
        </r>
      </text>
    </comment>
    <comment ref="A82" authorId="1" shapeId="0">
      <text>
        <r>
          <rPr>
            <sz val="11"/>
            <color theme="1"/>
            <rFont val="Arial"/>
            <family val="2"/>
          </rPr>
          <t>Anteriormente 5.2.2.. se dividio la actividad para independizar las acciones que contemplaba</t>
        </r>
      </text>
    </comment>
    <comment ref="A83" authorId="1" shapeId="0">
      <text>
        <r>
          <rPr>
            <sz val="11"/>
            <color theme="1"/>
            <rFont val="Arial"/>
            <family val="2"/>
          </rPr>
          <t>Revisar numeración que coincida con Acuerdo. Favor verificar la codificación de todas las actividade asociadas a este proyecto</t>
        </r>
      </text>
    </comment>
    <comment ref="A84" authorId="1" shapeId="0">
      <text>
        <r>
          <rPr>
            <sz val="11"/>
            <color theme="1"/>
            <rFont val="Arial"/>
            <family val="2"/>
          </rPr>
          <t>Anteriormente 5.2.4. Quedo con código duplicado</t>
        </r>
      </text>
    </comment>
    <comment ref="A85" authorId="1" shapeId="0">
      <text>
        <r>
          <rPr>
            <sz val="11"/>
            <color theme="1"/>
            <rFont val="Arial"/>
            <family val="2"/>
          </rPr>
          <t>Anteriormente 5.2.5. Quedo con Código duplicado</t>
        </r>
      </text>
    </comment>
    <comment ref="A86" authorId="1" shapeId="0">
      <text>
        <r>
          <rPr>
            <sz val="11"/>
            <color theme="1"/>
            <rFont val="Arial"/>
            <family val="2"/>
          </rPr>
          <t>Anteriormente 5.2.6</t>
        </r>
      </text>
    </comment>
    <comment ref="A87" authorId="1" shapeId="0">
      <text>
        <r>
          <rPr>
            <sz val="11"/>
            <color theme="1"/>
            <rFont val="Arial"/>
            <family val="2"/>
          </rPr>
          <t>Modificación Acuerdo 006 de 2021. Anteriormente Proyecto 5.3</t>
        </r>
      </text>
    </comment>
    <comment ref="A88" authorId="1" shapeId="0">
      <text>
        <r>
          <rPr>
            <sz val="11"/>
            <color theme="1"/>
            <rFont val="Arial"/>
            <family val="2"/>
          </rPr>
          <t>Anteriormente 5.3.1</t>
        </r>
      </text>
    </comment>
    <comment ref="U88" authorId="0" shapeId="0">
      <text>
        <r>
          <rPr>
            <b/>
            <sz val="9"/>
            <color indexed="81"/>
            <rFont val="Tahoma"/>
            <family val="2"/>
          </rPr>
          <t>Usuario:</t>
        </r>
        <r>
          <rPr>
            <sz val="9"/>
            <color indexed="81"/>
            <rFont val="Tahoma"/>
            <family val="2"/>
          </rPr>
          <t xml:space="preserve">
Se ajusto valor, teniendo en cuenta que la meta de la anualidad acumula el valor de la vigencia anterior. Sin embargo, revisar si la interpretación realizada es correcta.</t>
        </r>
      </text>
    </comment>
    <comment ref="A89" authorId="1" shapeId="0">
      <text>
        <r>
          <rPr>
            <sz val="11"/>
            <color theme="1"/>
            <rFont val="Arial"/>
            <family val="2"/>
          </rPr>
          <t>Anteriormente 5.3.2</t>
        </r>
      </text>
    </comment>
    <comment ref="A90" authorId="1" shapeId="0">
      <text>
        <r>
          <rPr>
            <sz val="11"/>
            <color theme="1"/>
            <rFont val="Arial"/>
            <family val="2"/>
          </rPr>
          <t>Anteriormente 5.3.3</t>
        </r>
      </text>
    </comment>
    <comment ref="A91" authorId="1" shapeId="0">
      <text>
        <r>
          <rPr>
            <sz val="11"/>
            <color theme="1"/>
            <rFont val="Arial"/>
            <family val="2"/>
          </rPr>
          <t>Anteriormente 5.3.4</t>
        </r>
      </text>
    </comment>
    <comment ref="A92" authorId="1" shapeId="0">
      <text>
        <r>
          <rPr>
            <sz val="11"/>
            <color theme="1"/>
            <rFont val="Arial"/>
            <family val="2"/>
          </rPr>
          <t>Modificación Acuerdo 006 de 2021. Anteriormente Proyecto 5.4</t>
        </r>
      </text>
    </comment>
    <comment ref="A93" authorId="1" shapeId="0">
      <text>
        <r>
          <rPr>
            <sz val="11"/>
            <color theme="1"/>
            <rFont val="Arial"/>
            <family val="2"/>
          </rPr>
          <t>Anteriormente 5.4.1(A)</t>
        </r>
      </text>
    </comment>
    <comment ref="U93" authorId="0" shapeId="0">
      <text>
        <r>
          <rPr>
            <b/>
            <sz val="9"/>
            <color indexed="81"/>
            <rFont val="Tahoma"/>
            <family val="2"/>
          </rPr>
          <t>Usuario:</t>
        </r>
        <r>
          <rPr>
            <sz val="9"/>
            <color indexed="81"/>
            <rFont val="Tahoma"/>
            <family val="2"/>
          </rPr>
          <t xml:space="preserve">
Se ajusto valor, teniendo en cuenta que la meta de la anualidad acumula el valor de la vigencia anterior. Sin embargo, revisar si la interpretación realizada es correcta.</t>
        </r>
      </text>
    </comment>
    <comment ref="Y93" authorId="1" shapeId="0">
      <text>
        <r>
          <rPr>
            <sz val="11"/>
            <color theme="1"/>
            <rFont val="Arial"/>
            <family val="2"/>
          </rPr>
          <t>Acuerdo 006 de 2021. El presupuesto se reduce a $600 mill, revisar distribución</t>
        </r>
      </text>
    </comment>
    <comment ref="A94" authorId="1" shapeId="0">
      <text>
        <r>
          <rPr>
            <sz val="11"/>
            <color theme="1"/>
            <rFont val="Arial"/>
            <family val="2"/>
          </rPr>
          <t>Anteriormente 5.4.2 (B)</t>
        </r>
      </text>
    </comment>
    <comment ref="A95" authorId="1" shapeId="0">
      <text>
        <r>
          <rPr>
            <sz val="11"/>
            <color theme="1"/>
            <rFont val="Arial"/>
            <family val="2"/>
          </rPr>
          <t>Anteriormente 5.4.3. Se asigno codificación diferencial</t>
        </r>
      </text>
    </comment>
    <comment ref="A96" authorId="1" shapeId="0">
      <text>
        <r>
          <rPr>
            <sz val="11"/>
            <color theme="1"/>
            <rFont val="Arial"/>
            <family val="2"/>
          </rPr>
          <t>Anteriormente 5.4.3. Anteriormente 5.4.3. Se asigno codificación diferencial</t>
        </r>
      </text>
    </comment>
    <comment ref="A97" authorId="1" shapeId="0">
      <text>
        <r>
          <rPr>
            <sz val="11"/>
            <color theme="1"/>
            <rFont val="Arial"/>
            <family val="2"/>
          </rPr>
          <t>Anteriormente 5.4.2. se asigno codificación diferencial</t>
        </r>
      </text>
    </comment>
    <comment ref="A98" authorId="1" shapeId="0">
      <text>
        <r>
          <rPr>
            <sz val="11"/>
            <color theme="1"/>
            <rFont val="Arial"/>
            <family val="2"/>
          </rPr>
          <t>Anteriormente 5.4.2. se asigno codificación diferencial</t>
        </r>
      </text>
    </comment>
    <comment ref="A99" authorId="1" shapeId="0">
      <text>
        <r>
          <rPr>
            <sz val="11"/>
            <color theme="1"/>
            <rFont val="Arial"/>
            <family val="2"/>
          </rPr>
          <t>Anteriormente 5.4.2. se cambio nombre</t>
        </r>
      </text>
    </comment>
    <comment ref="A100" authorId="1" shapeId="0">
      <text>
        <r>
          <rPr>
            <sz val="11"/>
            <color theme="1"/>
            <rFont val="Arial"/>
            <family val="2"/>
          </rPr>
          <t>Anteriormente 5.4.4</t>
        </r>
      </text>
    </comment>
    <comment ref="A101" authorId="1" shapeId="0">
      <text>
        <r>
          <rPr>
            <sz val="11"/>
            <color theme="1"/>
            <rFont val="Arial"/>
            <family val="2"/>
          </rPr>
          <t>Anteriormente 5.4.5</t>
        </r>
      </text>
    </comment>
    <comment ref="A102" authorId="1" shapeId="0">
      <text>
        <r>
          <rPr>
            <sz val="11"/>
            <color theme="1"/>
            <rFont val="Arial"/>
            <family val="2"/>
          </rPr>
          <t>Anteriormente 5.4.6</t>
        </r>
      </text>
    </comment>
    <comment ref="A103" authorId="1" shapeId="0">
      <text>
        <r>
          <rPr>
            <sz val="11"/>
            <color theme="1"/>
            <rFont val="Arial"/>
            <family val="2"/>
          </rPr>
          <t>Modificación Acuerdo 006 de 2021. Anteriormente Proyecto 5.5</t>
        </r>
      </text>
    </comment>
    <comment ref="A104" authorId="1" shapeId="0">
      <text>
        <r>
          <rPr>
            <sz val="11"/>
            <color theme="1"/>
            <rFont val="Arial"/>
            <family val="2"/>
          </rPr>
          <t>Anteriormente 5.5.1</t>
        </r>
      </text>
    </comment>
    <comment ref="U104" authorId="0" shapeId="0">
      <text>
        <r>
          <rPr>
            <b/>
            <sz val="9"/>
            <color indexed="81"/>
            <rFont val="Tahoma"/>
            <family val="2"/>
          </rPr>
          <t>Usuario:</t>
        </r>
        <r>
          <rPr>
            <sz val="9"/>
            <color indexed="81"/>
            <rFont val="Tahoma"/>
            <family val="2"/>
          </rPr>
          <t xml:space="preserve">
Se ajusto fórmula teniendo en cuenta que la meta no es acumulativa</t>
        </r>
      </text>
    </comment>
    <comment ref="Y104" authorId="1" shapeId="0">
      <text>
        <r>
          <rPr>
            <sz val="11"/>
            <color theme="1"/>
            <rFont val="Arial"/>
            <family val="2"/>
          </rPr>
          <t>Acuerdo 006 de 2021. El presupuesto se reduce a $1460 mill, revisar distribución</t>
        </r>
      </text>
    </comment>
    <comment ref="A105" authorId="1" shapeId="0">
      <text>
        <r>
          <rPr>
            <sz val="11"/>
            <color theme="1"/>
            <rFont val="Arial"/>
            <family val="2"/>
          </rPr>
          <t>Anteriormente 5.5.2</t>
        </r>
      </text>
    </comment>
    <comment ref="A106" authorId="1" shapeId="0">
      <text>
        <r>
          <rPr>
            <sz val="11"/>
            <color theme="1"/>
            <rFont val="Arial"/>
            <family val="2"/>
          </rPr>
          <t>Anteriormente 5.5.3</t>
        </r>
      </text>
    </comment>
    <comment ref="A108" authorId="1" shapeId="0">
      <text>
        <r>
          <rPr>
            <sz val="11"/>
            <color theme="1"/>
            <rFont val="Arial"/>
            <family val="2"/>
          </rPr>
          <t>Modificación Acuerdo 006 de 2021. Anteriormente Proyecto 2.4</t>
        </r>
      </text>
    </comment>
    <comment ref="A109" authorId="1" shapeId="0">
      <text>
        <r>
          <rPr>
            <sz val="11"/>
            <color theme="1"/>
            <rFont val="Arial"/>
            <family val="2"/>
          </rPr>
          <t>Anteriormente 2.4.1(A). Se modifico nombre</t>
        </r>
      </text>
    </comment>
    <comment ref="Y109" authorId="1" shapeId="0">
      <text>
        <r>
          <rPr>
            <sz val="11"/>
            <color theme="1"/>
            <rFont val="Arial"/>
            <family val="2"/>
          </rPr>
          <t>Acuerdo 006 de 2021. El presupuesto se reduce a $4650 mill, revisar distribución</t>
        </r>
      </text>
    </comment>
    <comment ref="A110" authorId="1" shapeId="0">
      <text>
        <r>
          <rPr>
            <sz val="11"/>
            <color theme="1"/>
            <rFont val="Arial"/>
            <family val="2"/>
          </rPr>
          <t>Anteriormente 2.4.1(B). Se modifico nombre</t>
        </r>
      </text>
    </comment>
    <comment ref="A111" authorId="1" shapeId="0">
      <text>
        <r>
          <rPr>
            <sz val="11"/>
            <color theme="1"/>
            <rFont val="Arial"/>
            <family val="2"/>
          </rPr>
          <t>Anteriormente 2.4.1(C). Se modifico nombre</t>
        </r>
      </text>
    </comment>
    <comment ref="U111" authorId="0" shapeId="0">
      <text>
        <r>
          <rPr>
            <b/>
            <sz val="9"/>
            <color indexed="81"/>
            <rFont val="Tahoma"/>
            <family val="2"/>
          </rPr>
          <t>Usuario:</t>
        </r>
        <r>
          <rPr>
            <sz val="9"/>
            <color indexed="81"/>
            <rFont val="Tahoma"/>
            <family val="2"/>
          </rPr>
          <t xml:space="preserve">
Se ajusto fórmula teniendo en cuenta que la meta no es acumulativa</t>
        </r>
      </text>
    </comment>
    <comment ref="A112" authorId="1" shapeId="0">
      <text>
        <r>
          <rPr>
            <sz val="11"/>
            <color theme="1"/>
            <rFont val="Arial"/>
            <family val="2"/>
          </rPr>
          <t>Anteriormente 2.4.1(D). Se modifico nombre</t>
        </r>
      </text>
    </comment>
    <comment ref="A113" authorId="1" shapeId="0">
      <text>
        <r>
          <rPr>
            <sz val="11"/>
            <color theme="1"/>
            <rFont val="Arial"/>
            <family val="2"/>
          </rPr>
          <t>Anteriormente 2.4.1(E). Se modifico nombre</t>
        </r>
      </text>
    </comment>
    <comment ref="A114" authorId="1" shapeId="0">
      <text>
        <r>
          <rPr>
            <sz val="11"/>
            <color theme="1"/>
            <rFont val="Arial"/>
            <family val="2"/>
          </rPr>
          <t>Anteriormente 2.4.1(F). Se modifico nombre</t>
        </r>
      </text>
    </comment>
    <comment ref="A115" authorId="1" shapeId="0">
      <text>
        <r>
          <rPr>
            <sz val="11"/>
            <color theme="1"/>
            <rFont val="Arial"/>
            <family val="2"/>
          </rPr>
          <t>Anteriormente 2.4.1(G). Se modifico nombre</t>
        </r>
      </text>
    </comment>
    <comment ref="A116" authorId="1" shapeId="0">
      <text>
        <r>
          <rPr>
            <sz val="11"/>
            <color theme="1"/>
            <rFont val="Arial"/>
            <family val="2"/>
          </rPr>
          <t>Anteriormente 2.4.2(A). Se divide actividad ajustando nombre para independizar acciones</t>
        </r>
      </text>
    </comment>
    <comment ref="A117" authorId="1" shapeId="0">
      <text>
        <r>
          <rPr>
            <sz val="11"/>
            <color theme="1"/>
            <rFont val="Arial"/>
            <family val="2"/>
          </rPr>
          <t>Anteriormente 2.4.2(B). Se divide actividad ajustando nombre para independizar acciones</t>
        </r>
      </text>
    </comment>
    <comment ref="A118" authorId="1" shapeId="0">
      <text>
        <r>
          <rPr>
            <sz val="11"/>
            <color theme="1"/>
            <rFont val="Arial"/>
            <family val="2"/>
          </rPr>
          <t>Anteriormente 2.4.3(C). Se divide actividad ajustando nombre para independizar acciones</t>
        </r>
      </text>
    </comment>
    <comment ref="U118" authorId="0" shapeId="0">
      <text>
        <r>
          <rPr>
            <b/>
            <sz val="9"/>
            <color indexed="81"/>
            <rFont val="Tahoma"/>
            <family val="2"/>
          </rPr>
          <t>Usuario:</t>
        </r>
        <r>
          <rPr>
            <sz val="9"/>
            <color indexed="81"/>
            <rFont val="Tahoma"/>
            <family val="2"/>
          </rPr>
          <t xml:space="preserve">
Se ajusto formato a % y fórmula teniendo en cuenta que la meta no es acumulativa</t>
        </r>
      </text>
    </comment>
    <comment ref="A119" authorId="1" shapeId="0">
      <text>
        <r>
          <rPr>
            <sz val="11"/>
            <color theme="1"/>
            <rFont val="Arial"/>
            <family val="2"/>
          </rPr>
          <t>Anteriormente 2.4.3(A). Se divide actividad ajustando nombre para independizar acciones</t>
        </r>
      </text>
    </comment>
    <comment ref="U119" authorId="0" shapeId="0">
      <text>
        <r>
          <rPr>
            <b/>
            <sz val="9"/>
            <color indexed="81"/>
            <rFont val="Tahoma"/>
            <family val="2"/>
          </rPr>
          <t>Usuario:</t>
        </r>
        <r>
          <rPr>
            <sz val="9"/>
            <color indexed="81"/>
            <rFont val="Tahoma"/>
            <family val="2"/>
          </rPr>
          <t xml:space="preserve">
Se ajusto fórmula teniendo en cuenta que la meta no es acumulativa</t>
        </r>
      </text>
    </comment>
    <comment ref="A120" authorId="1" shapeId="0">
      <text>
        <r>
          <rPr>
            <sz val="11"/>
            <color theme="1"/>
            <rFont val="Arial"/>
            <family val="2"/>
          </rPr>
          <t>Anteriormente 2.4.3(B). Se divide actividad ajustando nombre para independizar acciones</t>
        </r>
      </text>
    </comment>
    <comment ref="A121" authorId="1" shapeId="0">
      <text>
        <r>
          <rPr>
            <sz val="11"/>
            <color theme="1"/>
            <rFont val="Arial"/>
            <family val="2"/>
          </rPr>
          <t>Anteriormente 2.4.4</t>
        </r>
      </text>
    </comment>
    <comment ref="U121" authorId="0" shapeId="0">
      <text>
        <r>
          <rPr>
            <b/>
            <sz val="9"/>
            <color indexed="81"/>
            <rFont val="Tahoma"/>
            <family val="2"/>
          </rPr>
          <t>Usuario:</t>
        </r>
        <r>
          <rPr>
            <sz val="9"/>
            <color indexed="81"/>
            <rFont val="Tahoma"/>
            <family val="2"/>
          </rPr>
          <t xml:space="preserve">
Se ajusto con un decimal para que no se viera cero</t>
        </r>
      </text>
    </comment>
    <comment ref="A122" authorId="1" shapeId="0">
      <text>
        <r>
          <rPr>
            <sz val="11"/>
            <color theme="1"/>
            <rFont val="Arial"/>
            <family val="2"/>
          </rPr>
          <t>Anteriormente 2.4.5</t>
        </r>
      </text>
    </comment>
    <comment ref="U122" authorId="0" shapeId="0">
      <text>
        <r>
          <rPr>
            <b/>
            <sz val="9"/>
            <color indexed="81"/>
            <rFont val="Tahoma"/>
            <family val="2"/>
          </rPr>
          <t>Usuario:</t>
        </r>
        <r>
          <rPr>
            <sz val="9"/>
            <color indexed="81"/>
            <rFont val="Tahoma"/>
            <family val="2"/>
          </rPr>
          <t xml:space="preserve">
Se ajusto valor, teniendo en cuenta que la meta de la anualidad acumula el valor de la vigencia anterior. Sin embargo, revisar si la interpretación realizada es correcta.</t>
        </r>
      </text>
    </comment>
    <comment ref="A123" authorId="1" shapeId="0">
      <text>
        <r>
          <rPr>
            <sz val="11"/>
            <color theme="1"/>
            <rFont val="Arial"/>
            <family val="2"/>
          </rPr>
          <t>Anteriormente 2.4.6</t>
        </r>
      </text>
    </comment>
    <comment ref="G123" authorId="0" shapeId="0">
      <text>
        <r>
          <rPr>
            <b/>
            <sz val="9"/>
            <color indexed="81"/>
            <rFont val="Tahoma"/>
            <family val="2"/>
          </rPr>
          <t>Usuario:</t>
        </r>
        <r>
          <rPr>
            <sz val="9"/>
            <color indexed="81"/>
            <rFont val="Tahoma"/>
            <family val="2"/>
          </rPr>
          <t xml:space="preserve">
No seria 0,7?</t>
        </r>
      </text>
    </comment>
    <comment ref="U123" authorId="0" shapeId="0">
      <text>
        <r>
          <rPr>
            <b/>
            <sz val="9"/>
            <color indexed="81"/>
            <rFont val="Tahoma"/>
            <family val="2"/>
          </rPr>
          <t>Usuario:</t>
        </r>
        <r>
          <rPr>
            <sz val="9"/>
            <color indexed="81"/>
            <rFont val="Tahoma"/>
            <family val="2"/>
          </rPr>
          <t xml:space="preserve">
Se ajusto fórmula teniendo en cuenta que la meta no es acumulativa</t>
        </r>
      </text>
    </comment>
    <comment ref="A126" authorId="1" shapeId="0">
      <text>
        <r>
          <rPr>
            <sz val="11"/>
            <color theme="1"/>
            <rFont val="Arial"/>
            <family val="2"/>
          </rPr>
          <t>Modificación Acuerdo 006 de 2021. Anteriormente Proyecto 3.1</t>
        </r>
      </text>
    </comment>
    <comment ref="A127" authorId="1" shapeId="0">
      <text>
        <r>
          <rPr>
            <sz val="11"/>
            <color theme="1"/>
            <rFont val="Arial"/>
            <family val="2"/>
          </rPr>
          <t>Anteriormente 3.1.1</t>
        </r>
      </text>
    </comment>
    <comment ref="U127" authorId="0" shapeId="0">
      <text>
        <r>
          <rPr>
            <b/>
            <sz val="9"/>
            <color indexed="81"/>
            <rFont val="Tahoma"/>
            <family val="2"/>
          </rPr>
          <t>Usuario:</t>
        </r>
        <r>
          <rPr>
            <sz val="9"/>
            <color indexed="81"/>
            <rFont val="Tahoma"/>
            <family val="2"/>
          </rPr>
          <t xml:space="preserve">
Se ajusto formato y valor, teniendo en cuenta que la meta de la anualidad acumula el valor de la vigencia anterior. Sin embargo, revisar si la interpretación realizada es correcta.</t>
        </r>
      </text>
    </comment>
    <comment ref="A128" authorId="1" shapeId="0">
      <text>
        <r>
          <rPr>
            <sz val="11"/>
            <color theme="1"/>
            <rFont val="Arial"/>
            <family val="2"/>
          </rPr>
          <t>Anteriormente 3.1.2</t>
        </r>
      </text>
    </comment>
    <comment ref="U128" authorId="0" shapeId="0">
      <text>
        <r>
          <rPr>
            <b/>
            <sz val="9"/>
            <color indexed="81"/>
            <rFont val="Tahoma"/>
            <family val="2"/>
          </rPr>
          <t>Usuario:</t>
        </r>
        <r>
          <rPr>
            <sz val="9"/>
            <color indexed="81"/>
            <rFont val="Tahoma"/>
            <family val="2"/>
          </rPr>
          <t xml:space="preserve">
Se ajusto formato a %</t>
        </r>
      </text>
    </comment>
    <comment ref="A129" authorId="1" shapeId="0">
      <text>
        <r>
          <rPr>
            <sz val="11"/>
            <color theme="1"/>
            <rFont val="Arial"/>
            <family val="2"/>
          </rPr>
          <t>Anteriormente 3.1.3</t>
        </r>
      </text>
    </comment>
    <comment ref="U129" authorId="0" shapeId="0">
      <text>
        <r>
          <rPr>
            <b/>
            <sz val="9"/>
            <color indexed="81"/>
            <rFont val="Tahoma"/>
            <family val="2"/>
          </rPr>
          <t>Usuario:</t>
        </r>
        <r>
          <rPr>
            <sz val="9"/>
            <color indexed="81"/>
            <rFont val="Tahoma"/>
            <family val="2"/>
          </rPr>
          <t xml:space="preserve">
Se ajusto formato y fórmula teniendo en cuenta que la meta no es acumulativa</t>
        </r>
      </text>
    </comment>
    <comment ref="A130" authorId="1" shapeId="0">
      <text>
        <r>
          <rPr>
            <sz val="11"/>
            <color theme="1"/>
            <rFont val="Arial"/>
            <family val="2"/>
          </rPr>
          <t>Anteriormente 3.1.4</t>
        </r>
      </text>
    </comment>
    <comment ref="U130" authorId="0" shapeId="0">
      <text>
        <r>
          <rPr>
            <b/>
            <sz val="9"/>
            <color indexed="81"/>
            <rFont val="Tahoma"/>
            <family val="2"/>
          </rPr>
          <t>Usuario:</t>
        </r>
        <r>
          <rPr>
            <sz val="9"/>
            <color indexed="81"/>
            <rFont val="Tahoma"/>
            <family val="2"/>
          </rPr>
          <t xml:space="preserve">
Se ajusto fórmula teniendo en cuenta que la meta no es acumulativa</t>
        </r>
      </text>
    </comment>
    <comment ref="A131" authorId="1" shapeId="0">
      <text>
        <r>
          <rPr>
            <sz val="11"/>
            <color theme="1"/>
            <rFont val="Arial"/>
            <family val="2"/>
          </rPr>
          <t>Modificación Acuerdo 006 de 2021. Anteriormente Proyecto 3.2</t>
        </r>
      </text>
    </comment>
    <comment ref="A132" authorId="1" shapeId="0">
      <text>
        <r>
          <rPr>
            <sz val="11"/>
            <color theme="1"/>
            <rFont val="Arial"/>
            <family val="2"/>
          </rPr>
          <t>Anteriormente 3.2.1</t>
        </r>
      </text>
    </comment>
    <comment ref="U132" authorId="0" shapeId="0">
      <text>
        <r>
          <rPr>
            <b/>
            <sz val="9"/>
            <color indexed="81"/>
            <rFont val="Tahoma"/>
            <family val="2"/>
          </rPr>
          <t>Usuario:</t>
        </r>
        <r>
          <rPr>
            <sz val="9"/>
            <color indexed="81"/>
            <rFont val="Tahoma"/>
            <family val="2"/>
          </rPr>
          <t xml:space="preserve">
Se ajusto fórmula teniendo en cuenta que la meta no es acumulativa</t>
        </r>
      </text>
    </comment>
    <comment ref="A133" authorId="1" shapeId="0">
      <text>
        <r>
          <rPr>
            <sz val="11"/>
            <color theme="1"/>
            <rFont val="Arial"/>
            <family val="2"/>
          </rPr>
          <t>Anteriormente 3.2.3</t>
        </r>
      </text>
    </comment>
    <comment ref="A134" authorId="1" shapeId="0">
      <text>
        <r>
          <rPr>
            <sz val="11"/>
            <color theme="1"/>
            <rFont val="Arial"/>
            <family val="2"/>
          </rPr>
          <t>Anteriormente 3.2.2</t>
        </r>
      </text>
    </comment>
    <comment ref="U134" authorId="0" shapeId="0">
      <text>
        <r>
          <rPr>
            <b/>
            <sz val="9"/>
            <color indexed="81"/>
            <rFont val="Tahoma"/>
            <family val="2"/>
          </rPr>
          <t>Usuario:</t>
        </r>
        <r>
          <rPr>
            <sz val="9"/>
            <color indexed="81"/>
            <rFont val="Tahoma"/>
            <family val="2"/>
          </rPr>
          <t xml:space="preserve">
Se ajusto fórmula teniendo en cuenta que la meta no es acumulativa</t>
        </r>
      </text>
    </comment>
    <comment ref="A135" authorId="1" shapeId="0">
      <text>
        <r>
          <rPr>
            <sz val="11"/>
            <color theme="1"/>
            <rFont val="Arial"/>
            <family val="2"/>
          </rPr>
          <t>Anteriormente 3.2.4</t>
        </r>
      </text>
    </comment>
    <comment ref="U135" authorId="0" shapeId="0">
      <text>
        <r>
          <rPr>
            <b/>
            <sz val="9"/>
            <color indexed="81"/>
            <rFont val="Tahoma"/>
            <family val="2"/>
          </rPr>
          <t>Usuario:</t>
        </r>
        <r>
          <rPr>
            <sz val="9"/>
            <color indexed="81"/>
            <rFont val="Tahoma"/>
            <family val="2"/>
          </rPr>
          <t xml:space="preserve">
Se ajusto fórmula teniendo en cuenta que la meta no es acumulativa</t>
        </r>
      </text>
    </comment>
    <comment ref="A136" authorId="1" shapeId="0">
      <text>
        <r>
          <rPr>
            <sz val="11"/>
            <color theme="1"/>
            <rFont val="Arial"/>
            <family val="2"/>
          </rPr>
          <t>Modificación Acuerdo 006 de 2021. Anteriormente Proyecto 3.3</t>
        </r>
      </text>
    </comment>
    <comment ref="A137" authorId="1" shapeId="0">
      <text>
        <r>
          <rPr>
            <sz val="11"/>
            <color theme="1"/>
            <rFont val="Arial"/>
            <family val="2"/>
          </rPr>
          <t>Anteriormente 3.3.1</t>
        </r>
      </text>
    </comment>
    <comment ref="U137" authorId="0" shapeId="0">
      <text>
        <r>
          <rPr>
            <b/>
            <sz val="9"/>
            <color indexed="81"/>
            <rFont val="Tahoma"/>
            <family val="2"/>
          </rPr>
          <t>Usuario:</t>
        </r>
        <r>
          <rPr>
            <sz val="9"/>
            <color indexed="81"/>
            <rFont val="Tahoma"/>
            <family val="2"/>
          </rPr>
          <t xml:space="preserve">
Se ajusto fórmula teniendo en cuenta que la meta no es acumulativa</t>
        </r>
      </text>
    </comment>
    <comment ref="A138" authorId="1" shapeId="0">
      <text>
        <r>
          <rPr>
            <sz val="11"/>
            <color theme="1"/>
            <rFont val="Arial"/>
            <family val="2"/>
          </rPr>
          <t>Anteriormente 3.3.2</t>
        </r>
      </text>
    </comment>
    <comment ref="A141" authorId="1" shapeId="0">
      <text>
        <r>
          <rPr>
            <sz val="11"/>
            <color theme="1"/>
            <rFont val="Arial"/>
            <family val="2"/>
          </rPr>
          <t>Modificación Acuerdo 006 de 2021. Anteriormente Proyecto 6.1</t>
        </r>
      </text>
    </comment>
    <comment ref="A142" authorId="1" shapeId="0">
      <text>
        <r>
          <rPr>
            <sz val="11"/>
            <color theme="1"/>
            <rFont val="Arial"/>
            <family val="2"/>
          </rPr>
          <t>Anteriormente 6.1.1</t>
        </r>
      </text>
    </comment>
    <comment ref="A143" authorId="1" shapeId="0">
      <text>
        <r>
          <rPr>
            <sz val="11"/>
            <color theme="1"/>
            <rFont val="Arial"/>
            <family val="2"/>
          </rPr>
          <t>Anteriormente 6.1.2</t>
        </r>
      </text>
    </comment>
    <comment ref="A144" authorId="1" shapeId="0">
      <text>
        <r>
          <rPr>
            <sz val="11"/>
            <color theme="1"/>
            <rFont val="Arial"/>
            <family val="2"/>
          </rPr>
          <t>Anteriormente 6.1.3</t>
        </r>
      </text>
    </comment>
    <comment ref="A145" authorId="1" shapeId="0">
      <text>
        <r>
          <rPr>
            <sz val="11"/>
            <color theme="1"/>
            <rFont val="Arial"/>
            <family val="2"/>
          </rPr>
          <t>Anteriormente 6.1.5</t>
        </r>
      </text>
    </comment>
    <comment ref="A146" authorId="1" shapeId="0">
      <text>
        <r>
          <rPr>
            <sz val="11"/>
            <color theme="1"/>
            <rFont val="Arial"/>
            <family val="2"/>
          </rPr>
          <t>Anteriormente 6.1.4</t>
        </r>
      </text>
    </comment>
    <comment ref="U146" authorId="0" shapeId="0">
      <text>
        <r>
          <rPr>
            <b/>
            <sz val="9"/>
            <color indexed="81"/>
            <rFont val="Tahoma"/>
            <family val="2"/>
          </rPr>
          <t>Usuario:</t>
        </r>
        <r>
          <rPr>
            <sz val="9"/>
            <color indexed="81"/>
            <rFont val="Tahoma"/>
            <family val="2"/>
          </rPr>
          <t xml:space="preserve">
Se ajusto valor, teniendo en cuenta que la meta de la anualidad acumula el valor de la vigencia anterior. Sin embargo, revisar si la interpretación realizada es correcta.</t>
        </r>
      </text>
    </comment>
    <comment ref="A147" authorId="1" shapeId="0">
      <text>
        <r>
          <rPr>
            <sz val="11"/>
            <color theme="1"/>
            <rFont val="Arial"/>
            <family val="2"/>
          </rPr>
          <t xml:space="preserve">Modificación Acuerdo 006 de 2021. Anteriormente Proyecto 6.2
</t>
        </r>
      </text>
    </comment>
    <comment ref="A148" authorId="1" shapeId="0">
      <text>
        <r>
          <rPr>
            <sz val="11"/>
            <color theme="1"/>
            <rFont val="Arial"/>
            <family val="2"/>
          </rPr>
          <t>Anteriormente 6.2.1. Se ajusta nombre de la actividad</t>
        </r>
      </text>
    </comment>
    <comment ref="A149" authorId="1" shapeId="0">
      <text>
        <r>
          <rPr>
            <sz val="11"/>
            <color theme="1"/>
            <rFont val="Arial"/>
            <family val="2"/>
          </rPr>
          <t>Anteriormente 6.2.1. Se ajusta nombre de la actividad dejandolo sólo asociado a CIDEAS</t>
        </r>
      </text>
    </comment>
    <comment ref="U149" authorId="0" shapeId="0">
      <text>
        <r>
          <rPr>
            <b/>
            <sz val="9"/>
            <color indexed="81"/>
            <rFont val="Tahoma"/>
            <family val="2"/>
          </rPr>
          <t>Usuario:</t>
        </r>
        <r>
          <rPr>
            <sz val="9"/>
            <color indexed="81"/>
            <rFont val="Tahoma"/>
            <family val="2"/>
          </rPr>
          <t xml:space="preserve">
Revisar, no se si se acumula o se mantiene el valor de la ultima anualidad</t>
        </r>
      </text>
    </comment>
    <comment ref="A150" authorId="1" shapeId="0">
      <text>
        <r>
          <rPr>
            <sz val="11"/>
            <color theme="1"/>
            <rFont val="Arial"/>
            <family val="2"/>
          </rPr>
          <t>Anteriormente 6.2.1. Se ajusta nombre de la actividad</t>
        </r>
      </text>
    </comment>
    <comment ref="A151" authorId="1" shapeId="0">
      <text>
        <r>
          <rPr>
            <sz val="11"/>
            <color theme="1"/>
            <rFont val="Arial"/>
            <family val="2"/>
          </rPr>
          <t>Anteriormente 6.2.2</t>
        </r>
      </text>
    </comment>
    <comment ref="A152" authorId="1" shapeId="0">
      <text>
        <r>
          <rPr>
            <sz val="11"/>
            <color theme="1"/>
            <rFont val="Arial"/>
            <family val="2"/>
          </rPr>
          <t>Anteriormente 6.2.1. Se ajusta nombre de la actividad dejandolo sólo asociado a PRAES</t>
        </r>
      </text>
    </comment>
    <comment ref="U152" authorId="0" shapeId="0">
      <text>
        <r>
          <rPr>
            <b/>
            <sz val="9"/>
            <color indexed="81"/>
            <rFont val="Tahoma"/>
            <family val="2"/>
          </rPr>
          <t>Usuario:</t>
        </r>
        <r>
          <rPr>
            <sz val="9"/>
            <color indexed="81"/>
            <rFont val="Tahoma"/>
            <family val="2"/>
          </rPr>
          <t xml:space="preserve">
Se ajusto valor, teniendo en cuenta que la meta de la anualidad acumula el valor de la vigencia anterior. Sin embargo, revisar si la interpretación realizada es correcta.</t>
        </r>
      </text>
    </comment>
    <comment ref="A153" authorId="1" shapeId="0">
      <text>
        <r>
          <rPr>
            <sz val="11"/>
            <color theme="1"/>
            <rFont val="Arial"/>
            <family val="2"/>
          </rPr>
          <t>Anteriormente 6.2.3</t>
        </r>
      </text>
    </comment>
    <comment ref="U153" authorId="0" shapeId="0">
      <text>
        <r>
          <rPr>
            <b/>
            <sz val="9"/>
            <color indexed="81"/>
            <rFont val="Tahoma"/>
            <family val="2"/>
          </rPr>
          <t>Usuario:</t>
        </r>
        <r>
          <rPr>
            <sz val="9"/>
            <color indexed="81"/>
            <rFont val="Tahoma"/>
            <family val="2"/>
          </rPr>
          <t xml:space="preserve">
Se ajusto fórmula teniendo en cuenta que la meta no es acumulativa</t>
        </r>
      </text>
    </comment>
    <comment ref="A154" authorId="1" shapeId="0">
      <text>
        <r>
          <rPr>
            <sz val="11"/>
            <color theme="1"/>
            <rFont val="Arial"/>
            <family val="2"/>
          </rPr>
          <t>Modificación Acuerdo 006 de 2021. Anteriormente Proyecto 6.3</t>
        </r>
      </text>
    </comment>
    <comment ref="A155" authorId="1" shapeId="0">
      <text>
        <r>
          <rPr>
            <sz val="11"/>
            <color theme="1"/>
            <rFont val="Arial"/>
            <family val="2"/>
          </rPr>
          <t>Anteriormente 6.3.1</t>
        </r>
      </text>
    </comment>
    <comment ref="B155" authorId="1" shapeId="0">
      <text>
        <r>
          <rPr>
            <sz val="11"/>
            <color theme="1"/>
            <rFont val="Arial"/>
            <family val="2"/>
          </rPr>
          <t>En PAI quedo como porcentaje, pero teniendo en cuenta las metas se evidencia que fue un error de digitación. Se corrige la unidad</t>
        </r>
      </text>
    </comment>
    <comment ref="A156" authorId="1" shapeId="0">
      <text>
        <r>
          <rPr>
            <sz val="11"/>
            <color theme="1"/>
            <rFont val="Arial"/>
            <family val="2"/>
          </rPr>
          <t>Anteriormente 6.3.2</t>
        </r>
      </text>
    </comment>
    <comment ref="A157" authorId="1" shapeId="0">
      <text>
        <r>
          <rPr>
            <sz val="11"/>
            <color theme="1"/>
            <rFont val="Arial"/>
            <family val="2"/>
          </rPr>
          <t>Anteriormente 6.3.3</t>
        </r>
      </text>
    </comment>
    <comment ref="U157" authorId="0" shapeId="0">
      <text>
        <r>
          <rPr>
            <b/>
            <sz val="9"/>
            <color indexed="81"/>
            <rFont val="Tahoma"/>
            <family val="2"/>
          </rPr>
          <t>Usuario:</t>
        </r>
        <r>
          <rPr>
            <sz val="9"/>
            <color indexed="81"/>
            <rFont val="Tahoma"/>
            <family val="2"/>
          </rPr>
          <t xml:space="preserve">
Se ajusto valor, teniendo en cuenta que la meta de la anualidad acumula el valor de la vigencia anterior. Sin embargo, revisar si la interpretación realizada es correcta.</t>
        </r>
      </text>
    </comment>
    <comment ref="A160" authorId="1" shapeId="0">
      <text>
        <r>
          <rPr>
            <sz val="11"/>
            <color theme="1"/>
            <rFont val="Arial"/>
            <family val="2"/>
          </rPr>
          <t>Modificación Acuerdo 006 de 2021. Anteriormente Proyecto 8.1</t>
        </r>
      </text>
    </comment>
    <comment ref="A161" authorId="1" shapeId="0">
      <text>
        <r>
          <rPr>
            <sz val="11"/>
            <color theme="1"/>
            <rFont val="Arial"/>
            <family val="2"/>
          </rPr>
          <t>Anteriormente 8.1.1. Se ajusta nombre de la actividad dividiendo acciones</t>
        </r>
      </text>
    </comment>
    <comment ref="Y161" authorId="1" shapeId="0">
      <text>
        <r>
          <rPr>
            <sz val="11"/>
            <color theme="1"/>
            <rFont val="Arial"/>
            <family val="2"/>
          </rPr>
          <t>Acuerdo 006 de 2021. El presupuesto se reduce a $540 mill, revisar distribución</t>
        </r>
      </text>
    </comment>
    <comment ref="A162" authorId="1" shapeId="0">
      <text>
        <r>
          <rPr>
            <sz val="11"/>
            <color theme="1"/>
            <rFont val="Arial"/>
            <family val="2"/>
          </rPr>
          <t>Anteriormente 8.1.1. Se ajusta nombre de la actividad dividiendo acciones</t>
        </r>
      </text>
    </comment>
    <comment ref="A163" authorId="1" shapeId="0">
      <text>
        <r>
          <rPr>
            <sz val="11"/>
            <color theme="1"/>
            <rFont val="Arial"/>
            <family val="2"/>
          </rPr>
          <t>Anteriormente 8.1.2</t>
        </r>
      </text>
    </comment>
    <comment ref="G163" authorId="0" shapeId="0">
      <text>
        <r>
          <rPr>
            <b/>
            <sz val="9"/>
            <color indexed="81"/>
            <rFont val="Tahoma"/>
            <family val="2"/>
          </rPr>
          <t>Usuario:</t>
        </r>
        <r>
          <rPr>
            <sz val="9"/>
            <color indexed="81"/>
            <rFont val="Tahoma"/>
            <family val="2"/>
          </rPr>
          <t xml:space="preserve">
Superior a la meta que se tenia. Favor revisar</t>
        </r>
      </text>
    </comment>
    <comment ref="U163" authorId="0" shapeId="0">
      <text>
        <r>
          <rPr>
            <b/>
            <sz val="9"/>
            <color indexed="81"/>
            <rFont val="Tahoma"/>
            <family val="2"/>
          </rPr>
          <t>Usuario:</t>
        </r>
        <r>
          <rPr>
            <sz val="9"/>
            <color indexed="81"/>
            <rFont val="Tahoma"/>
            <family val="2"/>
          </rPr>
          <t xml:space="preserve">
Se ajusto valor, teniendo en cuenta que la meta de la anualidad acumula el valor de la vigencia anterior. Sin embargo, revisar si la interpretación realizada es correcta.</t>
        </r>
      </text>
    </comment>
    <comment ref="A164" authorId="1" shapeId="0">
      <text>
        <r>
          <rPr>
            <sz val="11"/>
            <color theme="1"/>
            <rFont val="Arial"/>
            <family val="2"/>
          </rPr>
          <t>Anteriormente 8.1.3</t>
        </r>
      </text>
    </comment>
    <comment ref="U164" authorId="0" shapeId="0">
      <text>
        <r>
          <rPr>
            <b/>
            <sz val="9"/>
            <color indexed="81"/>
            <rFont val="Tahoma"/>
            <family val="2"/>
          </rPr>
          <t>Usuario:</t>
        </r>
        <r>
          <rPr>
            <sz val="9"/>
            <color indexed="81"/>
            <rFont val="Tahoma"/>
            <family val="2"/>
          </rPr>
          <t xml:space="preserve">
Se ajusto valor, teniendo en cuenta que la meta de la anualidad acumula el valor de la vigencia anterior. Sin embargo, revisar si la interpretación realizada es correcta.</t>
        </r>
      </text>
    </comment>
    <comment ref="A165" authorId="1" shapeId="0">
      <text>
        <r>
          <rPr>
            <sz val="11"/>
            <color theme="1"/>
            <rFont val="Arial"/>
            <family val="2"/>
          </rPr>
          <t>Anteriormente 8.1.4</t>
        </r>
      </text>
    </comment>
    <comment ref="U165" authorId="0" shapeId="0">
      <text>
        <r>
          <rPr>
            <b/>
            <sz val="9"/>
            <color indexed="81"/>
            <rFont val="Tahoma"/>
            <family val="2"/>
          </rPr>
          <t>Usuario:</t>
        </r>
        <r>
          <rPr>
            <sz val="9"/>
            <color indexed="81"/>
            <rFont val="Tahoma"/>
            <family val="2"/>
          </rPr>
          <t xml:space="preserve">
Se ajusto fórmula teniendo en cuenta que la meta no es acumulativa</t>
        </r>
      </text>
    </comment>
    <comment ref="A166" authorId="1" shapeId="0">
      <text>
        <r>
          <rPr>
            <sz val="11"/>
            <color theme="1"/>
            <rFont val="Arial"/>
            <family val="2"/>
          </rPr>
          <t>Anteriormente 8.1.5. Se ajusto nombre dividiendo acciones</t>
        </r>
      </text>
    </comment>
    <comment ref="G166" authorId="2" shapeId="0">
      <text>
        <r>
          <rPr>
            <b/>
            <sz val="9"/>
            <color indexed="81"/>
            <rFont val="Tahoma"/>
            <family val="2"/>
          </rPr>
          <t>Alex:</t>
        </r>
        <r>
          <rPr>
            <sz val="9"/>
            <color indexed="81"/>
            <rFont val="Tahoma"/>
            <family val="2"/>
          </rPr>
          <t xml:space="preserve">
Esta meta no es posible registrat avance de resago ya que lo que se dejo de ejecutar en la  vigencia </t>
        </r>
      </text>
    </comment>
    <comment ref="U166" authorId="0" shapeId="0">
      <text>
        <r>
          <rPr>
            <b/>
            <sz val="9"/>
            <color indexed="81"/>
            <rFont val="Tahoma"/>
            <family val="2"/>
          </rPr>
          <t>Usuario:</t>
        </r>
        <r>
          <rPr>
            <sz val="9"/>
            <color indexed="81"/>
            <rFont val="Tahoma"/>
            <family val="2"/>
          </rPr>
          <t xml:space="preserve">
Se ajusto valor, teniendo en cuenta que la meta de la anualidad acumula el valor de la vigencia anterior. Sin embargo, revisar si la interpretación realizada es correcta.</t>
        </r>
      </text>
    </comment>
    <comment ref="A167" authorId="1" shapeId="0">
      <text>
        <r>
          <rPr>
            <sz val="11"/>
            <color theme="1"/>
            <rFont val="Arial"/>
            <family val="2"/>
          </rPr>
          <t>Anteriormente 8.1.5. Se ajusto nombre dividiendo acciones aunque se repite codificación</t>
        </r>
      </text>
    </comment>
    <comment ref="U167" authorId="0" shapeId="0">
      <text>
        <r>
          <rPr>
            <b/>
            <sz val="9"/>
            <color indexed="81"/>
            <rFont val="Tahoma"/>
            <family val="2"/>
          </rPr>
          <t>Usuario:</t>
        </r>
        <r>
          <rPr>
            <sz val="9"/>
            <color indexed="81"/>
            <rFont val="Tahoma"/>
            <family val="2"/>
          </rPr>
          <t xml:space="preserve">
Se ajusto fórmula teniendo en cuenta que la meta no es acumulativa</t>
        </r>
      </text>
    </comment>
    <comment ref="A168" authorId="1" shapeId="0">
      <text>
        <r>
          <rPr>
            <sz val="11"/>
            <color theme="1"/>
            <rFont val="Arial"/>
            <family val="2"/>
          </rPr>
          <t>Anteriormente 8.1.6. Se ajusto nombre dividiendo acciones</t>
        </r>
      </text>
    </comment>
    <comment ref="F168" authorId="0" shapeId="0">
      <text>
        <r>
          <rPr>
            <b/>
            <sz val="9"/>
            <color indexed="81"/>
            <rFont val="Tahoma"/>
            <family val="2"/>
          </rPr>
          <t>Usuario:</t>
        </r>
        <r>
          <rPr>
            <sz val="9"/>
            <color indexed="81"/>
            <rFont val="Tahoma"/>
            <family val="2"/>
          </rPr>
          <t xml:space="preserve">
Revisar teniendo en cuenta la forma en que definieron la meta</t>
        </r>
      </text>
    </comment>
    <comment ref="A169" authorId="1" shapeId="0">
      <text>
        <r>
          <rPr>
            <sz val="11"/>
            <color theme="1"/>
            <rFont val="Arial"/>
            <family val="2"/>
          </rPr>
          <t>Anteriormente 8.1.6. Se ajusto nombre dividiendo acciones, aunque se repite codificación</t>
        </r>
      </text>
    </comment>
    <comment ref="A170" authorId="1" shapeId="0">
      <text>
        <r>
          <rPr>
            <sz val="11"/>
            <color theme="1"/>
            <rFont val="Arial"/>
            <family val="2"/>
          </rPr>
          <t>Anteriormente 8.1.6. Se ajusto nombre dividiendo acciones</t>
        </r>
      </text>
    </comment>
    <comment ref="A171" authorId="1" shapeId="0">
      <text>
        <r>
          <rPr>
            <sz val="11"/>
            <color theme="1"/>
            <rFont val="Arial"/>
            <family val="2"/>
          </rPr>
          <t>Anteriormente 8.1.6. Se ajusto nombre dividiendo acciones</t>
        </r>
      </text>
    </comment>
    <comment ref="A172" authorId="1" shapeId="0">
      <text>
        <r>
          <rPr>
            <sz val="11"/>
            <color theme="1"/>
            <rFont val="Arial"/>
            <family val="2"/>
          </rPr>
          <t>Anteriormente 8.1.7. Se cambio nombre</t>
        </r>
      </text>
    </comment>
    <comment ref="U172" authorId="0" shapeId="0">
      <text>
        <r>
          <rPr>
            <b/>
            <sz val="9"/>
            <color indexed="81"/>
            <rFont val="Tahoma"/>
            <family val="2"/>
          </rPr>
          <t>Usuario:</t>
        </r>
        <r>
          <rPr>
            <sz val="9"/>
            <color indexed="81"/>
            <rFont val="Tahoma"/>
            <family val="2"/>
          </rPr>
          <t xml:space="preserve">
Se cambio formato a %</t>
        </r>
      </text>
    </comment>
    <comment ref="A173" authorId="1" shapeId="0">
      <text>
        <r>
          <rPr>
            <sz val="11"/>
            <color theme="1"/>
            <rFont val="Arial"/>
            <family val="2"/>
          </rPr>
          <t>Anteriormente 8.1.7</t>
        </r>
      </text>
    </comment>
    <comment ref="U173" authorId="0" shapeId="0">
      <text>
        <r>
          <rPr>
            <b/>
            <sz val="9"/>
            <color indexed="81"/>
            <rFont val="Tahoma"/>
            <family val="2"/>
          </rPr>
          <t>Usuario:</t>
        </r>
        <r>
          <rPr>
            <sz val="9"/>
            <color indexed="81"/>
            <rFont val="Tahoma"/>
            <family val="2"/>
          </rPr>
          <t xml:space="preserve">
Se cambio formato a %</t>
        </r>
      </text>
    </comment>
    <comment ref="A174" authorId="1" shapeId="0">
      <text>
        <r>
          <rPr>
            <sz val="11"/>
            <color theme="1"/>
            <rFont val="Arial"/>
            <family val="2"/>
          </rPr>
          <t>Modificación Acuerdo 006 de 2021. Anteriormente Proyecto 8.2</t>
        </r>
      </text>
    </comment>
    <comment ref="A175" authorId="1" shapeId="0">
      <text>
        <r>
          <rPr>
            <sz val="11"/>
            <color theme="1"/>
            <rFont val="Arial"/>
            <family val="2"/>
          </rPr>
          <t>Anteriormente 8.2.1. Se ajusto nombre dividiendo las acciones.</t>
        </r>
      </text>
    </comment>
    <comment ref="U175" authorId="0" shapeId="0">
      <text>
        <r>
          <rPr>
            <b/>
            <sz val="9"/>
            <color indexed="81"/>
            <rFont val="Tahoma"/>
            <family val="2"/>
          </rPr>
          <t>Usuario:</t>
        </r>
        <r>
          <rPr>
            <sz val="9"/>
            <color indexed="81"/>
            <rFont val="Tahoma"/>
            <family val="2"/>
          </rPr>
          <t xml:space="preserve">
Se ajusto valor, teniendo en cuenta que la meta de la anualidad acumula el valor de la vigencia anterior. Sin embargo, revisar si la interpretación realizada es correcta.</t>
        </r>
      </text>
    </comment>
    <comment ref="Y175" authorId="1" shapeId="0">
      <text>
        <r>
          <rPr>
            <sz val="11"/>
            <color theme="1"/>
            <rFont val="Arial"/>
            <family val="2"/>
          </rPr>
          <t>Acuerdo 006 de 2021. El presupuesto se reduce a $500 mill, revisar distribución</t>
        </r>
      </text>
    </comment>
    <comment ref="A176" authorId="1" shapeId="0">
      <text>
        <r>
          <rPr>
            <sz val="11"/>
            <color theme="1"/>
            <rFont val="Arial"/>
            <family val="2"/>
          </rPr>
          <t>Anteriormente 8.2.1, se cambio nombre</t>
        </r>
      </text>
    </comment>
    <comment ref="U176" authorId="0" shapeId="0">
      <text>
        <r>
          <rPr>
            <b/>
            <sz val="9"/>
            <color indexed="81"/>
            <rFont val="Tahoma"/>
            <family val="2"/>
          </rPr>
          <t>Usuario:</t>
        </r>
        <r>
          <rPr>
            <sz val="9"/>
            <color indexed="81"/>
            <rFont val="Tahoma"/>
            <family val="2"/>
          </rPr>
          <t xml:space="preserve">
Se ajusto fórmula teniendo en cuenta que la meta no es acumulativa</t>
        </r>
      </text>
    </comment>
    <comment ref="A177" authorId="1" shapeId="0">
      <text>
        <r>
          <rPr>
            <sz val="11"/>
            <color theme="1"/>
            <rFont val="Arial"/>
            <family val="2"/>
          </rPr>
          <t>Anteriormente 8.2.3</t>
        </r>
      </text>
    </comment>
    <comment ref="U177" authorId="0" shapeId="0">
      <text>
        <r>
          <rPr>
            <b/>
            <sz val="9"/>
            <color indexed="81"/>
            <rFont val="Tahoma"/>
            <family val="2"/>
          </rPr>
          <t>Usuario:</t>
        </r>
        <r>
          <rPr>
            <sz val="9"/>
            <color indexed="81"/>
            <rFont val="Tahoma"/>
            <family val="2"/>
          </rPr>
          <t xml:space="preserve">
Se ajusto fórmula teniendo en cuenta que la meta no es acumulativa</t>
        </r>
      </text>
    </comment>
    <comment ref="A178" authorId="1" shapeId="0">
      <text>
        <r>
          <rPr>
            <sz val="11"/>
            <color theme="1"/>
            <rFont val="Arial"/>
            <family val="2"/>
          </rPr>
          <t>Anteriormente 8.2.5. Se ajusto nombre</t>
        </r>
      </text>
    </comment>
    <comment ref="A179" authorId="1" shapeId="0">
      <text>
        <r>
          <rPr>
            <sz val="11"/>
            <color theme="1"/>
            <rFont val="Arial"/>
            <family val="2"/>
          </rPr>
          <t>Anteriormente 8.2.5. se Cambio nombre</t>
        </r>
      </text>
    </comment>
    <comment ref="A180" authorId="1" shapeId="0">
      <text>
        <r>
          <rPr>
            <sz val="11"/>
            <color theme="1"/>
            <rFont val="Arial"/>
            <family val="2"/>
          </rPr>
          <t>Anteriormente 8.2.4</t>
        </r>
      </text>
    </comment>
    <comment ref="C180" authorId="1" shapeId="0">
      <text>
        <r>
          <rPr>
            <sz val="11"/>
            <color theme="1"/>
            <rFont val="Arial"/>
            <family val="2"/>
          </rPr>
          <t>Hubo error en la formulación de la matriz de informe 2020 a partir de aqui</t>
        </r>
      </text>
    </comment>
    <comment ref="U180" authorId="0" shapeId="0">
      <text>
        <r>
          <rPr>
            <b/>
            <sz val="9"/>
            <color indexed="81"/>
            <rFont val="Tahoma"/>
            <family val="2"/>
          </rPr>
          <t>Usuario:</t>
        </r>
        <r>
          <rPr>
            <sz val="9"/>
            <color indexed="81"/>
            <rFont val="Tahoma"/>
            <family val="2"/>
          </rPr>
          <t xml:space="preserve">
Se ajusto fórmula teniendo en cuenta que la meta no es acumulativa</t>
        </r>
      </text>
    </comment>
    <comment ref="A181" authorId="1" shapeId="0">
      <text>
        <r>
          <rPr>
            <sz val="11"/>
            <color theme="1"/>
            <rFont val="Arial"/>
            <family val="2"/>
          </rPr>
          <t>Anteriormente 8.2.5. Se cambio nombre de actividad</t>
        </r>
      </text>
    </comment>
    <comment ref="U181" authorId="0" shapeId="0">
      <text>
        <r>
          <rPr>
            <b/>
            <sz val="9"/>
            <color indexed="81"/>
            <rFont val="Tahoma"/>
            <family val="2"/>
          </rPr>
          <t>Usuario:</t>
        </r>
        <r>
          <rPr>
            <sz val="9"/>
            <color indexed="81"/>
            <rFont val="Tahoma"/>
            <family val="2"/>
          </rPr>
          <t xml:space="preserve">
Se ajusto fórmula teniendo en cuenta que la meta no es acumulativa</t>
        </r>
      </text>
    </comment>
    <comment ref="A182" authorId="1" shapeId="0">
      <text>
        <r>
          <rPr>
            <sz val="11"/>
            <color theme="1"/>
            <rFont val="Arial"/>
            <family val="2"/>
          </rPr>
          <t>Anteriormente 8.2.2. se modifico nombre</t>
        </r>
      </text>
    </comment>
    <comment ref="U182" authorId="0" shapeId="0">
      <text>
        <r>
          <rPr>
            <b/>
            <sz val="9"/>
            <color indexed="81"/>
            <rFont val="Tahoma"/>
            <family val="2"/>
          </rPr>
          <t>Usuario:</t>
        </r>
        <r>
          <rPr>
            <sz val="9"/>
            <color indexed="81"/>
            <rFont val="Tahoma"/>
            <family val="2"/>
          </rPr>
          <t xml:space="preserve">
Se ajusto valor, teniendo en cuenta que la meta de la anualidad acumula el valor de la vigencia anterior. Sin embargo, revisar si la interpretación realizada es correcta.</t>
        </r>
      </text>
    </comment>
    <comment ref="A183" authorId="1" shapeId="0">
      <text>
        <r>
          <rPr>
            <sz val="11"/>
            <color theme="1"/>
            <rFont val="Arial"/>
            <family val="2"/>
          </rPr>
          <t>Anteriormente 8.2.6</t>
        </r>
      </text>
    </comment>
    <comment ref="U183" authorId="0" shapeId="0">
      <text>
        <r>
          <rPr>
            <b/>
            <sz val="9"/>
            <color indexed="81"/>
            <rFont val="Tahoma"/>
            <family val="2"/>
          </rPr>
          <t>Usuario:</t>
        </r>
        <r>
          <rPr>
            <sz val="9"/>
            <color indexed="81"/>
            <rFont val="Tahoma"/>
            <family val="2"/>
          </rPr>
          <t xml:space="preserve">
Se ajusto valor, teniendo en cuenta que la meta de la anualidad acumula el valor de la vigencia anterior. Sin embargo, revisar si la interpretación realizada es correcta.</t>
        </r>
      </text>
    </comment>
    <comment ref="A184" authorId="1" shapeId="0">
      <text>
        <r>
          <rPr>
            <sz val="11"/>
            <color theme="1"/>
            <rFont val="Arial"/>
            <family val="2"/>
          </rPr>
          <t>Anteriormente 8.2.7</t>
        </r>
      </text>
    </comment>
    <comment ref="U184" authorId="0" shapeId="0">
      <text>
        <r>
          <rPr>
            <b/>
            <sz val="9"/>
            <color indexed="81"/>
            <rFont val="Tahoma"/>
            <family val="2"/>
          </rPr>
          <t>Usuario:</t>
        </r>
        <r>
          <rPr>
            <sz val="9"/>
            <color indexed="81"/>
            <rFont val="Tahoma"/>
            <family val="2"/>
          </rPr>
          <t xml:space="preserve">
Se ajusto formato a %</t>
        </r>
      </text>
    </comment>
    <comment ref="A185" authorId="1" shapeId="0">
      <text>
        <r>
          <rPr>
            <sz val="11"/>
            <color theme="1"/>
            <rFont val="Arial"/>
            <family val="2"/>
          </rPr>
          <t>Modificación Acuerdo 006 de 2021. Anteriormente Proyecto 8.3</t>
        </r>
      </text>
    </comment>
    <comment ref="A186" authorId="1" shapeId="0">
      <text>
        <r>
          <rPr>
            <sz val="11"/>
            <color theme="1"/>
            <rFont val="Arial"/>
            <family val="2"/>
          </rPr>
          <t>Anteriormente 8.3.1</t>
        </r>
      </text>
    </comment>
    <comment ref="U186" authorId="0" shapeId="0">
      <text>
        <r>
          <rPr>
            <b/>
            <sz val="9"/>
            <color indexed="81"/>
            <rFont val="Tahoma"/>
            <family val="2"/>
          </rPr>
          <t>Usuario:</t>
        </r>
        <r>
          <rPr>
            <sz val="9"/>
            <color indexed="81"/>
            <rFont val="Tahoma"/>
            <family val="2"/>
          </rPr>
          <t xml:space="preserve">
Se ajusto fórmula teniendo en cuenta que la meta no es acumulativa</t>
        </r>
      </text>
    </comment>
    <comment ref="Y186" authorId="1" shapeId="0">
      <text>
        <r>
          <rPr>
            <sz val="11"/>
            <color theme="1"/>
            <rFont val="Arial"/>
            <family val="2"/>
          </rPr>
          <t>Acuerdo 006 de 2021. El presupuesto se reduce a $2000 mill, revisar distribución</t>
        </r>
      </text>
    </comment>
    <comment ref="AN186" authorId="0" shapeId="0">
      <text>
        <r>
          <rPr>
            <b/>
            <sz val="9"/>
            <color indexed="81"/>
            <rFont val="Tahoma"/>
            <family val="2"/>
          </rPr>
          <t>Usuario:</t>
        </r>
        <r>
          <rPr>
            <sz val="9"/>
            <color indexed="81"/>
            <rFont val="Tahoma"/>
            <family val="2"/>
          </rPr>
          <t xml:space="preserve">
Los IMG que asocian a las actividades de este proyecto son los siguientes, revisar:
21. Tiempo promedio de trámite para la resolución de autorizaciones ambientales otorgadas por la corporación
22. Porcentaje de autorizaciones ambientales con seguimiento
23. Porcentaje de Procesos Sancionatorios Resueltos</t>
        </r>
      </text>
    </comment>
    <comment ref="A187" authorId="1" shapeId="0">
      <text>
        <r>
          <rPr>
            <sz val="11"/>
            <color theme="1"/>
            <rFont val="Arial"/>
            <family val="2"/>
          </rPr>
          <t>Anteriormente 8.3.2</t>
        </r>
      </text>
    </comment>
    <comment ref="U187" authorId="0" shapeId="0">
      <text>
        <r>
          <rPr>
            <b/>
            <sz val="9"/>
            <color indexed="81"/>
            <rFont val="Tahoma"/>
            <family val="2"/>
          </rPr>
          <t>Usuario:</t>
        </r>
        <r>
          <rPr>
            <sz val="9"/>
            <color indexed="81"/>
            <rFont val="Tahoma"/>
            <family val="2"/>
          </rPr>
          <t xml:space="preserve">
Se ajusto fórmula teniendo en cuenta que la meta no es acumulativa</t>
        </r>
      </text>
    </comment>
    <comment ref="A188" authorId="1" shapeId="0">
      <text>
        <r>
          <rPr>
            <sz val="11"/>
            <color theme="1"/>
            <rFont val="Arial"/>
            <family val="2"/>
          </rPr>
          <t>Anteriormente 8.3.3</t>
        </r>
      </text>
    </comment>
    <comment ref="U188" authorId="0" shapeId="0">
      <text>
        <r>
          <rPr>
            <b/>
            <sz val="9"/>
            <color indexed="81"/>
            <rFont val="Tahoma"/>
            <family val="2"/>
          </rPr>
          <t>Usuario:</t>
        </r>
        <r>
          <rPr>
            <sz val="9"/>
            <color indexed="81"/>
            <rFont val="Tahoma"/>
            <family val="2"/>
          </rPr>
          <t xml:space="preserve">
Se ajusto fórmula teniendo en cuenta que la meta no es acumulativa</t>
        </r>
      </text>
    </comment>
    <comment ref="A189" authorId="1" shapeId="0">
      <text>
        <r>
          <rPr>
            <sz val="11"/>
            <color theme="1"/>
            <rFont val="Arial"/>
            <family val="2"/>
          </rPr>
          <t>Anteriormente 8.3.4</t>
        </r>
      </text>
    </comment>
    <comment ref="U189" authorId="0" shapeId="0">
      <text>
        <r>
          <rPr>
            <b/>
            <sz val="9"/>
            <color indexed="81"/>
            <rFont val="Tahoma"/>
            <family val="2"/>
          </rPr>
          <t>Usuario:</t>
        </r>
        <r>
          <rPr>
            <sz val="9"/>
            <color indexed="81"/>
            <rFont val="Tahoma"/>
            <family val="2"/>
          </rPr>
          <t xml:space="preserve">
Se ajusto fórmula teniendo en cuenta que la meta no es acumulativa</t>
        </r>
      </text>
    </comment>
    <comment ref="A190" authorId="1" shapeId="0">
      <text>
        <r>
          <rPr>
            <sz val="11"/>
            <color theme="1"/>
            <rFont val="Arial"/>
            <family val="2"/>
          </rPr>
          <t>Anteriormente 8.3.5</t>
        </r>
      </text>
    </comment>
    <comment ref="A191" authorId="1" shapeId="0">
      <text>
        <r>
          <rPr>
            <sz val="11"/>
            <color theme="1"/>
            <rFont val="Arial"/>
            <family val="2"/>
          </rPr>
          <t>Anteriormente 8.3.6</t>
        </r>
      </text>
    </comment>
    <comment ref="U191" authorId="0" shapeId="0">
      <text>
        <r>
          <rPr>
            <b/>
            <sz val="9"/>
            <color indexed="81"/>
            <rFont val="Tahoma"/>
            <family val="2"/>
          </rPr>
          <t>Usuario:</t>
        </r>
        <r>
          <rPr>
            <sz val="9"/>
            <color indexed="81"/>
            <rFont val="Tahoma"/>
            <family val="2"/>
          </rPr>
          <t xml:space="preserve">
Se ajusto fórmula teniendo en cuenta que la meta no es acumulativa</t>
        </r>
      </text>
    </comment>
    <comment ref="A192" authorId="1" shapeId="0">
      <text>
        <r>
          <rPr>
            <sz val="11"/>
            <color theme="1"/>
            <rFont val="Arial"/>
            <family val="2"/>
          </rPr>
          <t>Anteriormente 8.3.7</t>
        </r>
      </text>
    </comment>
    <comment ref="A193" authorId="1" shapeId="0">
      <text>
        <r>
          <rPr>
            <sz val="11"/>
            <color theme="1"/>
            <rFont val="Arial"/>
            <family val="2"/>
          </rPr>
          <t>Modificación Acuerdo 006 de 2021. Anteriormente Proyecto 7.1</t>
        </r>
      </text>
    </comment>
    <comment ref="A194" authorId="1" shapeId="0">
      <text>
        <r>
          <rPr>
            <sz val="11"/>
            <color theme="1"/>
            <rFont val="Arial"/>
            <family val="2"/>
          </rPr>
          <t>Anteriormente 7.1.1</t>
        </r>
      </text>
    </comment>
    <comment ref="A195" authorId="1" shapeId="0">
      <text>
        <r>
          <rPr>
            <sz val="11"/>
            <color theme="1"/>
            <rFont val="Arial"/>
            <family val="2"/>
          </rPr>
          <t>Anteriormente 7.1.4</t>
        </r>
      </text>
    </comment>
    <comment ref="A196" authorId="1" shapeId="0">
      <text>
        <r>
          <rPr>
            <sz val="11"/>
            <color theme="1"/>
            <rFont val="Arial"/>
            <family val="2"/>
          </rPr>
          <t>Anteriormente 7.1.6</t>
        </r>
      </text>
    </comment>
    <comment ref="A197" authorId="1" shapeId="0">
      <text>
        <r>
          <rPr>
            <sz val="11"/>
            <color theme="1"/>
            <rFont val="Arial"/>
            <family val="2"/>
          </rPr>
          <t>Anteriormente 7.1.7</t>
        </r>
      </text>
    </comment>
    <comment ref="A198" authorId="1" shapeId="0">
      <text>
        <r>
          <rPr>
            <sz val="11"/>
            <color theme="1"/>
            <rFont val="Arial"/>
            <family val="2"/>
          </rPr>
          <t>Anteriormente 7.1.2</t>
        </r>
      </text>
    </comment>
    <comment ref="U198" authorId="0" shapeId="0">
      <text>
        <r>
          <rPr>
            <b/>
            <sz val="9"/>
            <color indexed="81"/>
            <rFont val="Tahoma"/>
            <family val="2"/>
          </rPr>
          <t>Usuario:</t>
        </r>
        <r>
          <rPr>
            <sz val="9"/>
            <color indexed="81"/>
            <rFont val="Tahoma"/>
            <family val="2"/>
          </rPr>
          <t xml:space="preserve">
Se ajusto valor, teniendo en cuenta que la meta de la anualidad acumula el valor de la vigencia anterior. Sin embargo, revisar si la interpretación realizada es correcta.</t>
        </r>
      </text>
    </comment>
    <comment ref="A199" authorId="1" shapeId="0">
      <text>
        <r>
          <rPr>
            <sz val="11"/>
            <color theme="1"/>
            <rFont val="Arial"/>
            <family val="2"/>
          </rPr>
          <t>Anteriormente 7.1.3</t>
        </r>
      </text>
    </comment>
    <comment ref="A200" authorId="1" shapeId="0">
      <text>
        <r>
          <rPr>
            <sz val="11"/>
            <color theme="1"/>
            <rFont val="Arial"/>
            <family val="2"/>
          </rPr>
          <t>Anteriormente 7.1.5</t>
        </r>
      </text>
    </comment>
    <comment ref="A201" authorId="1" shapeId="0">
      <text>
        <r>
          <rPr>
            <sz val="11"/>
            <color theme="1"/>
            <rFont val="Arial"/>
            <family val="2"/>
          </rPr>
          <t>Modificación Acuerdo 006 de 2021. Anteriormente Proyecto 7.2</t>
        </r>
      </text>
    </comment>
    <comment ref="A202" authorId="1" shapeId="0">
      <text>
        <r>
          <rPr>
            <sz val="11"/>
            <color theme="1"/>
            <rFont val="Arial"/>
            <family val="2"/>
          </rPr>
          <t>Anteriormente 7.2.1</t>
        </r>
      </text>
    </comment>
    <comment ref="A203" authorId="1" shapeId="0">
      <text>
        <r>
          <rPr>
            <sz val="11"/>
            <color theme="1"/>
            <rFont val="Arial"/>
            <family val="2"/>
          </rPr>
          <t>Anteriormente 7.2.2</t>
        </r>
      </text>
    </comment>
    <comment ref="A204" authorId="1" shapeId="0">
      <text>
        <r>
          <rPr>
            <sz val="11"/>
            <color theme="1"/>
            <rFont val="Arial"/>
            <family val="2"/>
          </rPr>
          <t>Anteriormente 7.2.3</t>
        </r>
      </text>
    </comment>
    <comment ref="A205" authorId="1" shapeId="0">
      <text>
        <r>
          <rPr>
            <sz val="11"/>
            <color theme="1"/>
            <rFont val="Arial"/>
            <family val="2"/>
          </rPr>
          <t>Modificación Acuerdo 006 de 2021. Anteriormente Proyecto 9.3</t>
        </r>
      </text>
    </comment>
    <comment ref="A206" authorId="1" shapeId="0">
      <text>
        <r>
          <rPr>
            <sz val="11"/>
            <color theme="1"/>
            <rFont val="Arial"/>
            <family val="2"/>
          </rPr>
          <t>Anteriormente 9.3.1</t>
        </r>
      </text>
    </comment>
    <comment ref="U206" authorId="0" shapeId="0">
      <text>
        <r>
          <rPr>
            <b/>
            <sz val="9"/>
            <color indexed="81"/>
            <rFont val="Tahoma"/>
            <family val="2"/>
          </rPr>
          <t>Usuario:</t>
        </r>
        <r>
          <rPr>
            <sz val="9"/>
            <color indexed="81"/>
            <rFont val="Tahoma"/>
            <family val="2"/>
          </rPr>
          <t xml:space="preserve">
Se ajusto valor, teniendo en cuenta que la meta de la anualidad acumula el valor de la vigencia anterior. Sin embargo, revisar si la interpretación realizada es correcta.</t>
        </r>
      </text>
    </comment>
    <comment ref="Y206" authorId="1" shapeId="0">
      <text>
        <r>
          <rPr>
            <sz val="11"/>
            <color theme="1"/>
            <rFont val="Arial"/>
            <family val="2"/>
          </rPr>
          <t>Acuerdo 006 de 2021. El presupuesto se reduce a $250 mill, revisar distribución</t>
        </r>
      </text>
    </comment>
    <comment ref="A207" authorId="1" shapeId="0">
      <text>
        <r>
          <rPr>
            <sz val="11"/>
            <color theme="1"/>
            <rFont val="Arial"/>
            <family val="2"/>
          </rPr>
          <t>Anteriormente 9.3.2</t>
        </r>
      </text>
    </comment>
    <comment ref="U207" authorId="0" shapeId="0">
      <text>
        <r>
          <rPr>
            <b/>
            <sz val="9"/>
            <color indexed="81"/>
            <rFont val="Tahoma"/>
            <family val="2"/>
          </rPr>
          <t>Usuario:</t>
        </r>
        <r>
          <rPr>
            <sz val="9"/>
            <color indexed="81"/>
            <rFont val="Tahoma"/>
            <family val="2"/>
          </rPr>
          <t xml:space="preserve">
Se ajusto valor, teniendo en cuenta que la meta de la anualidad acumula el valor de la vigencia anterior. Sin embargo, revisar si la interpretación realizada es correcta.</t>
        </r>
      </text>
    </comment>
    <comment ref="A208" authorId="1" shapeId="0">
      <text>
        <r>
          <rPr>
            <sz val="11"/>
            <color theme="1"/>
            <rFont val="Arial"/>
            <family val="2"/>
          </rPr>
          <t>Anteriormente 9.3.2</t>
        </r>
      </text>
    </comment>
    <comment ref="U208" authorId="0" shapeId="0">
      <text>
        <r>
          <rPr>
            <b/>
            <sz val="9"/>
            <color indexed="81"/>
            <rFont val="Tahoma"/>
            <family val="2"/>
          </rPr>
          <t>Usuario:</t>
        </r>
        <r>
          <rPr>
            <sz val="9"/>
            <color indexed="81"/>
            <rFont val="Tahoma"/>
            <family val="2"/>
          </rPr>
          <t xml:space="preserve">
Se ajusto valor, teniendo en cuenta que la meta de la anualidad acumula el valor de la vigencia anterior. Sin embargo, revisar si la interpretación realizada es correcta.</t>
        </r>
      </text>
    </comment>
    <comment ref="A209" authorId="1" shapeId="0">
      <text>
        <r>
          <rPr>
            <sz val="11"/>
            <color theme="1"/>
            <rFont val="Arial"/>
            <family val="2"/>
          </rPr>
          <t>Anteriormente 9.3.3</t>
        </r>
      </text>
    </comment>
    <comment ref="U209" authorId="0" shapeId="0">
      <text>
        <r>
          <rPr>
            <b/>
            <sz val="9"/>
            <color indexed="81"/>
            <rFont val="Tahoma"/>
            <family val="2"/>
          </rPr>
          <t>Usuario:</t>
        </r>
        <r>
          <rPr>
            <sz val="9"/>
            <color indexed="81"/>
            <rFont val="Tahoma"/>
            <family val="2"/>
          </rPr>
          <t xml:space="preserve">
Se ajusto valor, teniendo en cuenta que la meta de la anualidad acumula el valor de la vigencia anterior. Sin embargo, revisar si la interpretación realizada es correcta.</t>
        </r>
      </text>
    </comment>
    <comment ref="A211" authorId="1" shapeId="0">
      <text>
        <r>
          <rPr>
            <sz val="11"/>
            <color theme="1"/>
            <rFont val="Arial"/>
            <family val="2"/>
          </rPr>
          <t>Modificación Acuerdo 006 de 2021. Anteriormente Proyecto 9.1</t>
        </r>
      </text>
    </comment>
    <comment ref="A212" authorId="1" shapeId="0">
      <text>
        <r>
          <rPr>
            <sz val="11"/>
            <color theme="1"/>
            <rFont val="Arial"/>
            <family val="2"/>
          </rPr>
          <t>Anteriormente 9.1.1. Se modifico nombre de actividad</t>
        </r>
      </text>
    </comment>
    <comment ref="AO212" authorId="1" shapeId="0">
      <text>
        <r>
          <rPr>
            <sz val="11"/>
            <color theme="1"/>
            <rFont val="Arial"/>
            <family val="2"/>
          </rPr>
          <t>En matriz de seguimiento lo alineaban con ODS 16</t>
        </r>
      </text>
    </comment>
    <comment ref="A213" authorId="1" shapeId="0">
      <text>
        <r>
          <rPr>
            <sz val="11"/>
            <color theme="1"/>
            <rFont val="Arial"/>
            <family val="2"/>
          </rPr>
          <t>Anteriormente 9.1.1. Se modifico nombre de actividad</t>
        </r>
      </text>
    </comment>
    <comment ref="U213" authorId="0" shapeId="0">
      <text>
        <r>
          <rPr>
            <b/>
            <sz val="9"/>
            <color indexed="81"/>
            <rFont val="Tahoma"/>
            <family val="2"/>
          </rPr>
          <t>Usuario:</t>
        </r>
        <r>
          <rPr>
            <sz val="9"/>
            <color indexed="81"/>
            <rFont val="Tahoma"/>
            <family val="2"/>
          </rPr>
          <t xml:space="preserve">
La meta no es acumulativa por eso el % de avance global no puede ser 100%</t>
        </r>
      </text>
    </comment>
    <comment ref="A214" authorId="1" shapeId="0">
      <text>
        <r>
          <rPr>
            <sz val="11"/>
            <color theme="1"/>
            <rFont val="Arial"/>
            <family val="2"/>
          </rPr>
          <t xml:space="preserve">Anteriormente 9.1.2. </t>
        </r>
      </text>
    </comment>
    <comment ref="A215" authorId="1" shapeId="0">
      <text>
        <r>
          <rPr>
            <sz val="11"/>
            <color theme="1"/>
            <rFont val="Arial"/>
            <family val="2"/>
          </rPr>
          <t>Anteriormente 9.1.2. Se modifico nombre de actividad</t>
        </r>
      </text>
    </comment>
    <comment ref="A216" authorId="1" shapeId="0">
      <text>
        <r>
          <rPr>
            <sz val="11"/>
            <color theme="1"/>
            <rFont val="Arial"/>
            <family val="2"/>
          </rPr>
          <t>Anteriormente 9.1.3</t>
        </r>
      </text>
    </comment>
    <comment ref="U216" authorId="0" shapeId="0">
      <text>
        <r>
          <rPr>
            <b/>
            <sz val="9"/>
            <color indexed="81"/>
            <rFont val="Tahoma"/>
            <family val="2"/>
          </rPr>
          <t>Usuario:</t>
        </r>
        <r>
          <rPr>
            <sz val="9"/>
            <color indexed="81"/>
            <rFont val="Tahoma"/>
            <family val="2"/>
          </rPr>
          <t xml:space="preserve">
Se ajusto fórmula teniendo en cuenta que la meta no es acumulativa</t>
        </r>
      </text>
    </comment>
    <comment ref="A217" authorId="1" shapeId="0">
      <text>
        <r>
          <rPr>
            <sz val="11"/>
            <color theme="1"/>
            <rFont val="Arial"/>
            <family val="2"/>
          </rPr>
          <t>Anteriormente 9.1.4</t>
        </r>
      </text>
    </comment>
    <comment ref="U217" authorId="0" shapeId="0">
      <text>
        <r>
          <rPr>
            <b/>
            <sz val="9"/>
            <color indexed="81"/>
            <rFont val="Tahoma"/>
            <family val="2"/>
          </rPr>
          <t>Usuario:</t>
        </r>
        <r>
          <rPr>
            <sz val="9"/>
            <color indexed="81"/>
            <rFont val="Tahoma"/>
            <family val="2"/>
          </rPr>
          <t xml:space="preserve">
Se ajusto fórmula teniendo en cuenta que la meta no es acumulativa</t>
        </r>
      </text>
    </comment>
    <comment ref="A218" authorId="1" shapeId="0">
      <text>
        <r>
          <rPr>
            <sz val="11"/>
            <color theme="1"/>
            <rFont val="Arial"/>
            <family val="2"/>
          </rPr>
          <t xml:space="preserve">Modificación Acuerdo 006 de 2021. Anteriormente Proyecto 9.2
</t>
        </r>
      </text>
    </comment>
    <comment ref="A219" authorId="1" shapeId="0">
      <text>
        <r>
          <rPr>
            <sz val="11"/>
            <color theme="1"/>
            <rFont val="Arial"/>
            <family val="2"/>
          </rPr>
          <t>Anteriormente 9.2.1</t>
        </r>
      </text>
    </comment>
    <comment ref="Y219" authorId="1" shapeId="0">
      <text>
        <r>
          <rPr>
            <sz val="11"/>
            <color theme="1"/>
            <rFont val="Arial"/>
            <family val="2"/>
          </rPr>
          <t>Acuerdo 006 de 2021. El presupuesto se reduce a $163 mill, revisar distribución</t>
        </r>
      </text>
    </comment>
    <comment ref="A220" authorId="1" shapeId="0">
      <text>
        <r>
          <rPr>
            <sz val="11"/>
            <color theme="1"/>
            <rFont val="Arial"/>
            <family val="2"/>
          </rPr>
          <t>Anteriormente 9.2.3</t>
        </r>
      </text>
    </comment>
    <comment ref="U220" authorId="0" shapeId="0">
      <text>
        <r>
          <rPr>
            <b/>
            <sz val="9"/>
            <color indexed="81"/>
            <rFont val="Tahoma"/>
            <family val="2"/>
          </rPr>
          <t>Usuario:</t>
        </r>
        <r>
          <rPr>
            <sz val="9"/>
            <color indexed="81"/>
            <rFont val="Tahoma"/>
            <family val="2"/>
          </rPr>
          <t xml:space="preserve">
Se ajusto fórmula teniendo en cuenta que la meta no es acumulativa</t>
        </r>
      </text>
    </comment>
    <comment ref="A221" authorId="1" shapeId="0">
      <text>
        <r>
          <rPr>
            <sz val="11"/>
            <color theme="1"/>
            <rFont val="Arial"/>
            <family val="2"/>
          </rPr>
          <t>Anteriormente 9.2.4</t>
        </r>
      </text>
    </comment>
    <comment ref="U221" authorId="0" shapeId="0">
      <text>
        <r>
          <rPr>
            <b/>
            <sz val="9"/>
            <color indexed="81"/>
            <rFont val="Tahoma"/>
            <family val="2"/>
          </rPr>
          <t>Usuario:</t>
        </r>
        <r>
          <rPr>
            <sz val="9"/>
            <color indexed="81"/>
            <rFont val="Tahoma"/>
            <family val="2"/>
          </rPr>
          <t xml:space="preserve">
Se ajusto fórmula teniendo en cuenta que la meta no es acumulativa</t>
        </r>
      </text>
    </comment>
    <comment ref="A222" authorId="1" shapeId="0">
      <text>
        <r>
          <rPr>
            <sz val="11"/>
            <color theme="1"/>
            <rFont val="Arial"/>
            <family val="2"/>
          </rPr>
          <t>Anteriormente 9.2.2</t>
        </r>
      </text>
    </comment>
    <comment ref="U222" authorId="0" shapeId="0">
      <text>
        <r>
          <rPr>
            <b/>
            <sz val="9"/>
            <color indexed="81"/>
            <rFont val="Tahoma"/>
            <family val="2"/>
          </rPr>
          <t>Usuario:</t>
        </r>
        <r>
          <rPr>
            <sz val="9"/>
            <color indexed="81"/>
            <rFont val="Tahoma"/>
            <family val="2"/>
          </rPr>
          <t xml:space="preserve">
Se ajusto formato y fórmula teniendo en cuenta que la meta no es acumulativa</t>
        </r>
      </text>
    </comment>
    <comment ref="V223" authorId="0" shapeId="0">
      <text>
        <r>
          <rPr>
            <b/>
            <sz val="9"/>
            <color indexed="81"/>
            <rFont val="Tahoma"/>
            <family val="2"/>
          </rPr>
          <t>Usuario:</t>
        </r>
        <r>
          <rPr>
            <sz val="9"/>
            <color indexed="81"/>
            <rFont val="Tahoma"/>
            <family val="2"/>
          </rPr>
          <t xml:space="preserve">
Se cambio formato a % </t>
        </r>
      </text>
    </comment>
    <comment ref="Y223" authorId="0" shapeId="0">
      <text>
        <r>
          <rPr>
            <b/>
            <sz val="9"/>
            <color indexed="81"/>
            <rFont val="Tahoma"/>
            <family val="2"/>
          </rPr>
          <t>Usuario:</t>
        </r>
        <r>
          <rPr>
            <sz val="9"/>
            <color indexed="81"/>
            <rFont val="Tahoma"/>
            <family val="2"/>
          </rPr>
          <t xml:space="preserve">
Coincide con información Anexo 5.2, pero NO con Anexo 5.1</t>
        </r>
      </text>
    </comment>
    <comment ref="AA223" authorId="0" shapeId="0">
      <text>
        <r>
          <rPr>
            <b/>
            <sz val="9"/>
            <color indexed="81"/>
            <rFont val="Tahoma"/>
            <family val="2"/>
          </rPr>
          <t>Usuario:</t>
        </r>
        <r>
          <rPr>
            <sz val="9"/>
            <color indexed="81"/>
            <rFont val="Tahoma"/>
            <family val="2"/>
          </rPr>
          <t xml:space="preserve">
OK. Coincide con Gastos</t>
        </r>
      </text>
    </comment>
    <comment ref="AC223" authorId="0" shapeId="0">
      <text>
        <r>
          <rPr>
            <b/>
            <sz val="9"/>
            <color indexed="81"/>
            <rFont val="Tahoma"/>
            <family val="2"/>
          </rPr>
          <t>Usuario:</t>
        </r>
        <r>
          <rPr>
            <sz val="9"/>
            <color indexed="81"/>
            <rFont val="Tahoma"/>
            <family val="2"/>
          </rPr>
          <t xml:space="preserve">
OK. Coincide con info Anexo 5.2</t>
        </r>
      </text>
    </comment>
  </commentList>
</comments>
</file>

<file path=xl/comments2.xml><?xml version="1.0" encoding="utf-8"?>
<comments xmlns="http://schemas.openxmlformats.org/spreadsheetml/2006/main">
  <authors>
    <author>Usuario</author>
  </authors>
  <commentList>
    <comment ref="H158" authorId="0" shapeId="0">
      <text>
        <r>
          <rPr>
            <b/>
            <sz val="9"/>
            <color indexed="81"/>
            <rFont val="Tahoma"/>
            <family val="2"/>
          </rPr>
          <t>Usuario:</t>
        </r>
        <r>
          <rPr>
            <sz val="9"/>
            <color indexed="81"/>
            <rFont val="Tahoma"/>
            <family val="2"/>
          </rPr>
          <t xml:space="preserve">
Acuerdo 014 de 2021</t>
        </r>
      </text>
    </comment>
  </commentList>
</comments>
</file>

<file path=xl/comments3.xml><?xml version="1.0" encoding="utf-8"?>
<comments xmlns="http://schemas.openxmlformats.org/spreadsheetml/2006/main">
  <authors>
    <author>ANA MEJIA</author>
  </authors>
  <commentList>
    <comment ref="F20" authorId="0" shapeId="0">
      <text>
        <r>
          <rPr>
            <b/>
            <sz val="9"/>
            <color indexed="81"/>
            <rFont val="Tahoma"/>
            <family val="2"/>
          </rPr>
          <t>ANA MEJIA:</t>
        </r>
        <r>
          <rPr>
            <sz val="9"/>
            <color indexed="81"/>
            <rFont val="Tahoma"/>
            <family val="2"/>
          </rPr>
          <t xml:space="preserve">
Consultar la meta con Adrian de acuerdo a los PUEAA aprobados</t>
        </r>
      </text>
    </comment>
  </commentList>
</comments>
</file>

<file path=xl/comments4.xml><?xml version="1.0" encoding="utf-8"?>
<comments xmlns="http://schemas.openxmlformats.org/spreadsheetml/2006/main">
  <authors>
    <author>ANA MEJIA</author>
  </authors>
  <commentList>
    <comment ref="F18" authorId="0" shapeId="0">
      <text>
        <r>
          <rPr>
            <b/>
            <sz val="9"/>
            <color indexed="81"/>
            <rFont val="Tahoma"/>
            <family val="2"/>
          </rPr>
          <t>ANA MEJI
Consultar con Jorge Jimenez la meta y el avance</t>
        </r>
      </text>
    </comment>
  </commentList>
</comments>
</file>

<file path=xl/comments5.xml><?xml version="1.0" encoding="utf-8"?>
<comments xmlns="http://schemas.openxmlformats.org/spreadsheetml/2006/main">
  <authors>
    <author>ANA MEJIA</author>
  </authors>
  <commentList>
    <comment ref="D36" authorId="0" shapeId="0">
      <text>
        <r>
          <rPr>
            <b/>
            <sz val="9"/>
            <color indexed="81"/>
            <rFont val="Tahoma"/>
            <family val="2"/>
          </rPr>
          <t>ANA MEJIA:</t>
        </r>
        <r>
          <rPr>
            <sz val="9"/>
            <color indexed="81"/>
            <rFont val="Tahoma"/>
            <family val="2"/>
          </rPr>
          <t xml:space="preserve">
Consultar con Jorge Jimenez</t>
        </r>
      </text>
    </comment>
  </commentList>
</comments>
</file>

<file path=xl/comments6.xml><?xml version="1.0" encoding="utf-8"?>
<comments xmlns="http://schemas.openxmlformats.org/spreadsheetml/2006/main">
  <authors>
    <author>ANA MEJIA</author>
  </authors>
  <commentList>
    <comment ref="F52" authorId="0" shapeId="0">
      <text>
        <r>
          <rPr>
            <b/>
            <sz val="9"/>
            <color indexed="81"/>
            <rFont val="Tahoma"/>
            <family val="2"/>
          </rPr>
          <t>ANA MEJIA:</t>
        </r>
        <r>
          <rPr>
            <sz val="9"/>
            <color indexed="81"/>
            <rFont val="Tahoma"/>
            <family val="2"/>
          </rPr>
          <t xml:space="preserve">
Corroborar el tiempo establecido en la norma</t>
        </r>
      </text>
    </comment>
  </commentList>
</comments>
</file>

<file path=xl/comments7.xml><?xml version="1.0" encoding="utf-8"?>
<comments xmlns="http://schemas.openxmlformats.org/spreadsheetml/2006/main">
  <authors>
    <author>ANA MEJIA</author>
  </authors>
  <commentList>
    <comment ref="E18" authorId="0" shapeId="0">
      <text>
        <r>
          <rPr>
            <b/>
            <sz val="9"/>
            <color indexed="81"/>
            <rFont val="Tahoma"/>
            <family val="2"/>
          </rPr>
          <t>ANA MEJIA:</t>
        </r>
        <r>
          <rPr>
            <sz val="9"/>
            <color indexed="81"/>
            <rFont val="Tahoma"/>
            <family val="2"/>
          </rPr>
          <t xml:space="preserve">
Consultar con Roberto Peña</t>
        </r>
      </text>
    </comment>
    <comment ref="D41" authorId="0" shapeId="0">
      <text>
        <r>
          <rPr>
            <b/>
            <sz val="9"/>
            <color indexed="81"/>
            <rFont val="Tahoma"/>
            <family val="2"/>
          </rPr>
          <t>ANA MEJIA:</t>
        </r>
        <r>
          <rPr>
            <sz val="9"/>
            <color indexed="81"/>
            <rFont val="Tahoma"/>
            <family val="2"/>
          </rPr>
          <t xml:space="preserve">
Consultar Con Adrian Ibarra</t>
        </r>
      </text>
    </comment>
    <comment ref="D62" authorId="0" shapeId="0">
      <text>
        <r>
          <rPr>
            <b/>
            <sz val="9"/>
            <color indexed="81"/>
            <rFont val="Tahoma"/>
            <family val="2"/>
          </rPr>
          <t>ANA MEJIA:</t>
        </r>
        <r>
          <rPr>
            <sz val="9"/>
            <color indexed="81"/>
            <rFont val="Tahoma"/>
            <family val="2"/>
          </rPr>
          <t xml:space="preserve">
Consultar con Eduardo Lopez</t>
        </r>
      </text>
    </comment>
    <comment ref="D83" authorId="0" shapeId="0">
      <text>
        <r>
          <rPr>
            <b/>
            <sz val="9"/>
            <color indexed="81"/>
            <rFont val="Tahoma"/>
            <family val="2"/>
          </rPr>
          <t>ANA MEJIA:</t>
        </r>
        <r>
          <rPr>
            <sz val="9"/>
            <color indexed="81"/>
            <rFont val="Tahoma"/>
            <family val="2"/>
          </rPr>
          <t xml:space="preserve">
Consultar con Roberto Lopez</t>
        </r>
      </text>
    </comment>
    <comment ref="D101" authorId="0" shapeId="0">
      <text>
        <r>
          <rPr>
            <b/>
            <sz val="9"/>
            <color indexed="81"/>
            <rFont val="Tahoma"/>
            <family val="2"/>
          </rPr>
          <t>ANA MEJIA:</t>
        </r>
        <r>
          <rPr>
            <sz val="9"/>
            <color indexed="81"/>
            <rFont val="Tahoma"/>
            <family val="2"/>
          </rPr>
          <t xml:space="preserve">
Consultar con Roberto</t>
        </r>
      </text>
    </comment>
  </commentList>
</comments>
</file>

<file path=xl/comments8.xml><?xml version="1.0" encoding="utf-8"?>
<comments xmlns="http://schemas.openxmlformats.org/spreadsheetml/2006/main">
  <authors>
    <author>ANA MEJIA</author>
  </authors>
  <commentList>
    <comment ref="E18" authorId="0" shapeId="0">
      <text>
        <r>
          <rPr>
            <b/>
            <sz val="9"/>
            <color indexed="81"/>
            <rFont val="Tahoma"/>
            <family val="2"/>
          </rPr>
          <t>ANA MEJIA:</t>
        </r>
        <r>
          <rPr>
            <sz val="9"/>
            <color indexed="81"/>
            <rFont val="Tahoma"/>
            <family val="2"/>
          </rPr>
          <t xml:space="preserve">
Consultar con Adrian</t>
        </r>
      </text>
    </comment>
    <comment ref="F18" authorId="0" shapeId="0">
      <text>
        <r>
          <rPr>
            <b/>
            <sz val="9"/>
            <color indexed="81"/>
            <rFont val="Tahoma"/>
            <family val="2"/>
          </rPr>
          <t>ANA MEJIA:</t>
        </r>
        <r>
          <rPr>
            <sz val="9"/>
            <color indexed="81"/>
            <rFont val="Tahoma"/>
            <family val="2"/>
          </rPr>
          <t xml:space="preserve">
Consultar con Carlos Osorio</t>
        </r>
      </text>
    </comment>
    <comment ref="G18" authorId="0" shapeId="0">
      <text>
        <r>
          <rPr>
            <b/>
            <sz val="9"/>
            <color indexed="81"/>
            <rFont val="Tahoma"/>
            <family val="2"/>
          </rPr>
          <t>ANA MEJIA:</t>
        </r>
        <r>
          <rPr>
            <sz val="9"/>
            <color indexed="81"/>
            <rFont val="Tahoma"/>
            <family val="2"/>
          </rPr>
          <t xml:space="preserve">
Consultar con Almes</t>
        </r>
      </text>
    </comment>
    <comment ref="E24" authorId="0" shapeId="0">
      <text>
        <r>
          <rPr>
            <b/>
            <sz val="9"/>
            <color indexed="81"/>
            <rFont val="Tahoma"/>
            <family val="2"/>
          </rPr>
          <t>ANA MEJIA:</t>
        </r>
        <r>
          <rPr>
            <sz val="9"/>
            <color indexed="81"/>
            <rFont val="Tahoma"/>
            <family val="2"/>
          </rPr>
          <t xml:space="preserve">
Consultar con Jorge Jimenez</t>
        </r>
      </text>
    </comment>
  </commentList>
</comments>
</file>

<file path=xl/sharedStrings.xml><?xml version="1.0" encoding="utf-8"?>
<sst xmlns="http://schemas.openxmlformats.org/spreadsheetml/2006/main" count="5087" uniqueCount="2174">
  <si>
    <r>
      <t>Porcentaje de avance en la formulación y/o ajuste de los Planes de Ordenación y Manejo de Cuencas (POMCAS), Planes de Manejo de Acuíferos (PMA) y Planes de Manejo de Microcuencas (PMM</t>
    </r>
    <r>
      <rPr>
        <b/>
        <sz val="9"/>
        <color rgb="FF000000"/>
        <rFont val="Calibri"/>
        <family val="2"/>
        <scheme val="minor"/>
      </rPr>
      <t>)</t>
    </r>
  </si>
  <si>
    <t>(Hoja metodológica versión 1,00)</t>
  </si>
  <si>
    <t>Metodología de cálculo</t>
  </si>
  <si>
    <t>Para su cálculo, se diligencia la siguiente información:</t>
  </si>
  <si>
    <t>Número de cuencas objeto de POMCA en la jurisdicción de la CAR según la zonificación hidrográfica:</t>
  </si>
  <si>
    <t>Número de cuencas objeto de POMCA priorizadas para el cuatrienio en la jurisdicción de la CAR:</t>
  </si>
  <si>
    <t>Datos generales de los POMCAS:</t>
  </si>
  <si>
    <t>Cuencas, acuíferos y microcuencas objeto de planes en la jurisdicción de la CAR</t>
  </si>
  <si>
    <t>Tipo de Plan (a)</t>
  </si>
  <si>
    <t>Código (b)</t>
  </si>
  <si>
    <t>Nombre de Cuenca, Microcuenca, Acuífero</t>
  </si>
  <si>
    <t>POMCA</t>
  </si>
  <si>
    <t>PMA</t>
  </si>
  <si>
    <t>PMM</t>
  </si>
  <si>
    <t>Utilice tantas líneas cuantas sean necesarias.</t>
  </si>
  <si>
    <r>
      <t>(a)</t>
    </r>
    <r>
      <rPr>
        <sz val="7"/>
        <color rgb="FF000000"/>
        <rFont val="Times New Roman"/>
        <family val="1"/>
      </rPr>
      <t xml:space="preserve">     </t>
    </r>
    <r>
      <rPr>
        <sz val="9"/>
        <color rgb="FF000000"/>
        <rFont val="Calibri"/>
        <family val="2"/>
      </rPr>
      <t>POMCA, PMA, PMM</t>
    </r>
  </si>
  <si>
    <r>
      <t>(b)</t>
    </r>
    <r>
      <rPr>
        <sz val="7"/>
        <color rgb="FF000000"/>
        <rFont val="Times New Roman"/>
        <family val="1"/>
      </rPr>
      <t xml:space="preserve">     </t>
    </r>
    <r>
      <rPr>
        <sz val="9"/>
        <color rgb="FF000000"/>
        <rFont val="Calibri"/>
        <family val="2"/>
      </rPr>
      <t>Si aplica</t>
    </r>
  </si>
  <si>
    <r>
      <t>(c)</t>
    </r>
    <r>
      <rPr>
        <sz val="7"/>
        <color rgb="FF000000"/>
        <rFont val="Times New Roman"/>
        <family val="1"/>
      </rPr>
      <t xml:space="preserve">     </t>
    </r>
    <r>
      <rPr>
        <sz val="9"/>
        <color rgb="FF000000"/>
        <rFont val="Calibri"/>
        <family val="2"/>
      </rPr>
      <t>Procesos formales previos, En Fase de Aprestamiento, Diagnóstico, En Fase de Prospectiva y Zonificación Ambiental, en Fase de Formulación y Aprobado. Si está aprobado, escriba el número del acto administrativo.</t>
    </r>
  </si>
  <si>
    <t>Meta anual de avance (%) en la formulación de cada plan</t>
  </si>
  <si>
    <t>N</t>
  </si>
  <si>
    <t>Año 1</t>
  </si>
  <si>
    <t>Año 2</t>
  </si>
  <si>
    <t>Año 3</t>
  </si>
  <si>
    <t>Año 4</t>
  </si>
  <si>
    <t>Utilice tantas líneas cuantas sean necesarias e indique las metas anuales teniendo como base la ponderación establecida para cada fase, hasta alcanzar el 100% con la aprobación del plan.</t>
  </si>
  <si>
    <t>Reporte de porcentaje de avance en la formulación de cada plan (*) (%)</t>
  </si>
  <si>
    <t>Código</t>
  </si>
  <si>
    <t>(*) Para el caso de los POMCA, el avance alcanza el 100% cuando ha sido aprobado a través del respectivo acto administrativo, pues de acuerdo con la Guía Técnica para la formulación de Planes de Ordenación y manejo de Cuencas Hidrográficas (Resolución 1907 de 2013), la fase de formulación concluye con la publicidad y aprobación del plan.</t>
  </si>
  <si>
    <t>Porcentaje de avance de la meta anual en la formulación de cada plan</t>
  </si>
  <si>
    <t>Porcentaje promedio de avance anual en la formulación de los planes</t>
  </si>
  <si>
    <t>Tipo de Plan</t>
  </si>
  <si>
    <t>Ponderación regional</t>
  </si>
  <si>
    <t>POMCAS</t>
  </si>
  <si>
    <r>
      <t xml:space="preserve">PAFP </t>
    </r>
    <r>
      <rPr>
        <vertAlign val="subscript"/>
        <sz val="9"/>
        <color rgb="FF000000"/>
        <rFont val="Calibri"/>
        <family val="2"/>
        <scheme val="minor"/>
      </rPr>
      <t>t</t>
    </r>
    <r>
      <rPr>
        <sz val="9"/>
        <color rgb="FF000000"/>
        <rFont val="Calibri"/>
        <family val="2"/>
        <scheme val="minor"/>
      </rPr>
      <t xml:space="preserve"> = Porcentaje de avance en la formulación y/o ajuste de los Planes de Ordenación y Manejo de Cuencas (POMCAS), Planes de Manejo de Acuíferos (PMA) y Planes de Manejo de Microcuencas (PMM)</t>
    </r>
  </si>
  <si>
    <t>Interpretación</t>
  </si>
  <si>
    <t>El indicador hace seguimiento a la función de planificación ambiental relacionada con el recurso hídrico a cargo de las corporaciones autónomas regionales. Cuanto más cercano a cien por ciento, mayor es el cumplimiento de las metas establecidas en la planificación de dicho recurso.</t>
  </si>
  <si>
    <t>Restricciones o Limitaciones</t>
  </si>
  <si>
    <t>Teniendo en cuenta que la formulación de los POMCAS, PMA y PMM que realizan las Corporaciones Autónomas Regionales y de Desarrollo Sostenible en el marco de sus competencias obedecen a procesos técnicos y sociales particulares de cada región, se pueden presentar situaciones de orden operativo, político y social que pueden afectar los cronogramas definidos para la formulación de dichos instrumentos de planificación.</t>
  </si>
  <si>
    <t>Responsable del reporte de las variables del indicador</t>
  </si>
  <si>
    <t>Entidad</t>
  </si>
  <si>
    <t>Dependencia</t>
  </si>
  <si>
    <t>Nombre del funcionario</t>
  </si>
  <si>
    <t>Cargo</t>
  </si>
  <si>
    <t>Correo electrónico</t>
  </si>
  <si>
    <t>Teléfono</t>
  </si>
  <si>
    <t>Dirección</t>
  </si>
  <si>
    <t>Responsable del cálculo del indicador</t>
  </si>
  <si>
    <t>Ministerio de Ambiente y Desarrollo Sostenible MADS</t>
  </si>
  <si>
    <t>Dirección de Ordenamiento Territorial y Coordinación del Sistema Ambiental – SINA</t>
  </si>
  <si>
    <t xml:space="preserve">Información sobre la Hoja Metodológica </t>
  </si>
  <si>
    <t>Fecha</t>
  </si>
  <si>
    <t>Versión</t>
  </si>
  <si>
    <t>Datos del autor o de quien ajustó la hoja metodológica</t>
  </si>
  <si>
    <t>Descripción de los ajustes</t>
  </si>
  <si>
    <r>
      <t>Hoja Metodológica de referencia:</t>
    </r>
    <r>
      <rPr>
        <sz val="9"/>
        <color rgb="FF000000"/>
        <rFont val="Calibri"/>
        <family val="2"/>
        <scheme val="minor"/>
      </rPr>
      <t xml:space="preserve"> MADS (2016). </t>
    </r>
    <r>
      <rPr>
        <i/>
        <sz val="9"/>
        <color rgb="FF000000"/>
        <rFont val="Calibri"/>
        <family val="2"/>
        <scheme val="minor"/>
      </rPr>
      <t>Hoja metodológica del Porcentaje de avance en la formulación de los Planes de Ordenación y Manejo de Cuencas (POMCAS), Planes de Manejo de Acuíferos (PMA) y Planes de Manejo de Microcuencas (PMM) (Versión 1.0).</t>
    </r>
    <r>
      <rPr>
        <sz val="9"/>
        <color rgb="FF000000"/>
        <rFont val="Calibri"/>
        <family val="2"/>
        <scheme val="minor"/>
      </rPr>
      <t xml:space="preserve"> Ministerio de Ambiente y Desarrollo Sostenible MADS, DGOAT-SINA y DRH.</t>
    </r>
  </si>
  <si>
    <t>Observaciones</t>
  </si>
  <si>
    <t>Descripción del Indicador</t>
  </si>
  <si>
    <t>Definición</t>
  </si>
  <si>
    <t>Es el porcentaje de avance en la formulación o ajuste de los Planes de Ordenación y Manejo de Cuencas (POMCAS), Planes de Manejo de Acuíferos (PMA) y Planes de Manejo de Microcuencas (PMM) priorizados por la Corporación.</t>
  </si>
  <si>
    <t>Pertinencia</t>
  </si>
  <si>
    <t>Finalidad / Propósito:</t>
  </si>
  <si>
    <t>El indicador mide el cumplimiento de las metas establecidas en relación con la formulación o ajuste de los Planes de Ordenación y Manejo de Cuencas (POMCAS), Planes de Manejo de Acuíferos (PMA) y Planes de Manejo de Microcuencas (PMM).</t>
  </si>
  <si>
    <t>Seguimiento a las metas del Plan Nacional de Desarrollo 2014-2018 (POMCAS formulados)</t>
  </si>
  <si>
    <t>Normatividad de soporte:</t>
  </si>
  <si>
    <t>Ley 99 de 1993.</t>
  </si>
  <si>
    <t>Decreto 1076 de 2015.</t>
  </si>
  <si>
    <t>Resolución 1907 de 2013.</t>
  </si>
  <si>
    <t>Resolución 509 de 2013.</t>
  </si>
  <si>
    <t>Documentación de Referencia:</t>
  </si>
  <si>
    <t>Política Nacional para la Gestión Integral del Recurso Hídrico</t>
  </si>
  <si>
    <t>Plan Nacional de Desarrollo 2014-2018</t>
  </si>
  <si>
    <t>Guía Técnica para la formulación de Planes de Ordenación y manejo de Cuencas Hidrográficas.</t>
  </si>
  <si>
    <t>Metas / Estándares</t>
  </si>
  <si>
    <t>Marco conceptual</t>
  </si>
  <si>
    <t>El Plan de Ordenación y manejo de Cuencas Hidrográficas (POMCA) es el instrumento a través del cual se realiza la planeación del uso coordinado del suelo, de las aguas, de la flora y la fauna; y el manejo de la cuenca, entendido como la ejecución de obras y tratamientos, en la perspectiva de mantener el equilibrio entre el aprovechamiento social y económico de tales recursos, y la conservación de la estructura físico -biótica de la cuenca y particularmente del recurso hídrico (Artículo 2.2.3.1.5.1 del Decreto 1076 de 2015).</t>
  </si>
  <si>
    <r>
      <t>Plan de Ordenación y Manejo de Cuenca (POMCA)</t>
    </r>
    <r>
      <rPr>
        <sz val="9"/>
        <color rgb="FF000000"/>
        <rFont val="Calibri"/>
        <family val="2"/>
        <scheme val="minor"/>
      </rPr>
      <t>:</t>
    </r>
  </si>
  <si>
    <t>Para la elaboración o ajuste de los POMCAS, las Corporaciones Autónomas Regionales y de Desarrollo Sostenible deberán desarrollar los siguientes procesos formales previos, las fases e hitos establecidos en la Resolución 1907 de 2013:</t>
  </si>
  <si>
    <r>
      <t>1.</t>
    </r>
    <r>
      <rPr>
        <sz val="7"/>
        <color rgb="FF000000"/>
        <rFont val="Times New Roman"/>
        <family val="1"/>
      </rPr>
      <t xml:space="preserve">       </t>
    </r>
    <r>
      <rPr>
        <sz val="9"/>
        <color rgb="FF000000"/>
        <rFont val="Calibri"/>
        <family val="2"/>
        <scheme val="minor"/>
      </rPr>
      <t>Procesos formales previos (Priorización de Cuencas, Conformación o Reconformación de Comisiones Conjuntas, Declaratoria de Cuencas en Ordenación)</t>
    </r>
  </si>
  <si>
    <r>
      <t>2.</t>
    </r>
    <r>
      <rPr>
        <sz val="7"/>
        <color rgb="FF000000"/>
        <rFont val="Times New Roman"/>
        <family val="1"/>
      </rPr>
      <t xml:space="preserve">       </t>
    </r>
    <r>
      <rPr>
        <sz val="9"/>
        <color rgb="FF000000"/>
        <rFont val="Calibri"/>
        <family val="2"/>
        <scheme val="minor"/>
      </rPr>
      <t>Fase de Aprestamiento</t>
    </r>
  </si>
  <si>
    <r>
      <t>3.</t>
    </r>
    <r>
      <rPr>
        <sz val="7"/>
        <color rgb="FF000000"/>
        <rFont val="Times New Roman"/>
        <family val="1"/>
      </rPr>
      <t xml:space="preserve">       </t>
    </r>
    <r>
      <rPr>
        <sz val="9"/>
        <color rgb="FF000000"/>
        <rFont val="Calibri"/>
        <family val="2"/>
        <scheme val="minor"/>
      </rPr>
      <t>Fase Diagnóstico</t>
    </r>
  </si>
  <si>
    <r>
      <t>4.</t>
    </r>
    <r>
      <rPr>
        <sz val="7"/>
        <color rgb="FF000000"/>
        <rFont val="Times New Roman"/>
        <family val="1"/>
      </rPr>
      <t xml:space="preserve">       </t>
    </r>
    <r>
      <rPr>
        <sz val="9"/>
        <color rgb="FF000000"/>
        <rFont val="Calibri"/>
        <family val="2"/>
        <scheme val="minor"/>
      </rPr>
      <t>Fase de Prospectiva y Zonificación Ambiental</t>
    </r>
  </si>
  <si>
    <r>
      <t>5.</t>
    </r>
    <r>
      <rPr>
        <sz val="7"/>
        <color rgb="FF000000"/>
        <rFont val="Times New Roman"/>
        <family val="1"/>
      </rPr>
      <t xml:space="preserve">       </t>
    </r>
    <r>
      <rPr>
        <sz val="9"/>
        <color rgb="FF000000"/>
        <rFont val="Calibri"/>
        <family val="2"/>
        <scheme val="minor"/>
      </rPr>
      <t>Fase de Formulación</t>
    </r>
  </si>
  <si>
    <r>
      <t>Plan de Manejo de Acuíferos (PMA)</t>
    </r>
    <r>
      <rPr>
        <sz val="9"/>
        <color rgb="FF000000"/>
        <rFont val="Calibri"/>
        <family val="2"/>
        <scheme val="minor"/>
      </rPr>
      <t>:</t>
    </r>
  </si>
  <si>
    <t>Para la elaboración o ajuste de PMA con base en el Decreto 1076 de 2015 (Dto 1640 de 2012), las Corporaciones Autónomas Regionales y de Desarrollo Sostenible deberán desarrollar las siguientes fases:</t>
  </si>
  <si>
    <r>
      <t>1.</t>
    </r>
    <r>
      <rPr>
        <sz val="7"/>
        <color rgb="FF000000"/>
        <rFont val="Times New Roman"/>
        <family val="1"/>
      </rPr>
      <t xml:space="preserve">       </t>
    </r>
    <r>
      <rPr>
        <sz val="9"/>
        <color rgb="FF000000"/>
        <rFont val="Calibri"/>
        <family val="2"/>
        <scheme val="minor"/>
      </rPr>
      <t>Fase de Aprestamiento</t>
    </r>
  </si>
  <si>
    <r>
      <t>2.</t>
    </r>
    <r>
      <rPr>
        <sz val="7"/>
        <color rgb="FF000000"/>
        <rFont val="Times New Roman"/>
        <family val="1"/>
      </rPr>
      <t xml:space="preserve">       </t>
    </r>
    <r>
      <rPr>
        <sz val="9"/>
        <color rgb="FF000000"/>
        <rFont val="Calibri"/>
        <family val="2"/>
        <scheme val="minor"/>
      </rPr>
      <t>Fase Diagnóstico</t>
    </r>
  </si>
  <si>
    <r>
      <t>3.</t>
    </r>
    <r>
      <rPr>
        <sz val="7"/>
        <color rgb="FF000000"/>
        <rFont val="Times New Roman"/>
        <family val="1"/>
      </rPr>
      <t xml:space="preserve">       </t>
    </r>
    <r>
      <rPr>
        <sz val="9"/>
        <color rgb="FF000000"/>
        <rFont val="Calibri"/>
        <family val="2"/>
        <scheme val="minor"/>
      </rPr>
      <t>Fase de Formulación</t>
    </r>
  </si>
  <si>
    <r>
      <t>Plan de Manejo de Microcuencas (PMM)</t>
    </r>
    <r>
      <rPr>
        <sz val="9"/>
        <color rgb="FF000000"/>
        <rFont val="Calibri"/>
        <family val="2"/>
        <scheme val="minor"/>
      </rPr>
      <t>:</t>
    </r>
  </si>
  <si>
    <t>Para la elaboración o ajuste de PMM con base en el Decreto 1076 de 2015 (Dto 1640 de 2012), las Corporaciones Autónomas Regionales y de Desarrollo Sostenible deberán desarrollar las siguientes fases:</t>
  </si>
  <si>
    <r>
      <t>3.</t>
    </r>
    <r>
      <rPr>
        <i/>
        <sz val="7"/>
        <color rgb="FF000000"/>
        <rFont val="Times New Roman"/>
        <family val="1"/>
      </rPr>
      <t xml:space="preserve">       </t>
    </r>
    <r>
      <rPr>
        <sz val="9"/>
        <color rgb="FF000000"/>
        <rFont val="Calibri"/>
        <family val="2"/>
        <scheme val="minor"/>
      </rPr>
      <t>Fase de Formulación</t>
    </r>
  </si>
  <si>
    <t>Fórmula de cálculo</t>
  </si>
  <si>
    <t>Donde:</t>
  </si>
  <si>
    <r>
      <t xml:space="preserve">PAFP </t>
    </r>
    <r>
      <rPr>
        <vertAlign val="subscript"/>
        <sz val="9"/>
        <color rgb="FF000000"/>
        <rFont val="Calibri"/>
        <family val="2"/>
        <scheme val="minor"/>
      </rPr>
      <t>t</t>
    </r>
    <r>
      <rPr>
        <sz val="9"/>
        <color rgb="FF000000"/>
        <rFont val="Calibri"/>
        <family val="2"/>
        <scheme val="minor"/>
      </rPr>
      <t xml:space="preserve"> = Porcentaje de avance en la formulación de los Planes de Ordenación y Manejo de Cuencas (POMCAS), Planes de Manejo de Acuíferos (PMA) y Planes de Manejo de Microcuencas (PMM), en el tiempo t.</t>
    </r>
  </si>
  <si>
    <r>
      <t xml:space="preserve">PPAPOMCAS </t>
    </r>
    <r>
      <rPr>
        <vertAlign val="subscript"/>
        <sz val="9"/>
        <color rgb="FF000000"/>
        <rFont val="Calibri"/>
        <family val="2"/>
        <scheme val="minor"/>
      </rPr>
      <t>t</t>
    </r>
    <r>
      <rPr>
        <sz val="9"/>
        <color rgb="FF000000"/>
        <rFont val="Calibri"/>
        <family val="2"/>
        <scheme val="minor"/>
      </rPr>
      <t xml:space="preserve"> = Porcentaje promedio de avance en la formulación de los Planes de Ordenación y Manejo de Cuencas (POMCAS), en el tiempo t.</t>
    </r>
  </si>
  <si>
    <r>
      <t xml:space="preserve">PPAPMA </t>
    </r>
    <r>
      <rPr>
        <vertAlign val="subscript"/>
        <sz val="9"/>
        <color rgb="FF000000"/>
        <rFont val="Calibri"/>
        <family val="2"/>
        <scheme val="minor"/>
      </rPr>
      <t>t</t>
    </r>
    <r>
      <rPr>
        <sz val="9"/>
        <color rgb="FF000000"/>
        <rFont val="Calibri"/>
        <family val="2"/>
        <scheme val="minor"/>
      </rPr>
      <t xml:space="preserve"> = Porcentaje promedio de avance en la formulación de los Planes de Manejo de Acuíferos (PMA), en el tiempo t.</t>
    </r>
  </si>
  <si>
    <r>
      <t xml:space="preserve">PPAPMM </t>
    </r>
    <r>
      <rPr>
        <vertAlign val="subscript"/>
        <sz val="9"/>
        <color rgb="FF000000"/>
        <rFont val="Calibri"/>
        <family val="2"/>
        <scheme val="minor"/>
      </rPr>
      <t>t</t>
    </r>
    <r>
      <rPr>
        <sz val="9"/>
        <color rgb="FF000000"/>
        <rFont val="Calibri"/>
        <family val="2"/>
        <scheme val="minor"/>
      </rPr>
      <t xml:space="preserve"> = Porcentaje promedio de avance en la formulación de los Planes de Microcuencas (PMM), en el tiempo t.</t>
    </r>
  </si>
  <si>
    <t>a = ponderador de POMCAS</t>
  </si>
  <si>
    <t>b = ponderador de PMA</t>
  </si>
  <si>
    <t>c = ponderador de PMM</t>
  </si>
  <si>
    <t>a + b + c = 1</t>
  </si>
  <si>
    <t>Los ponderadores de POMCAS, PMA y PMM serán definidos por cada CAR teniendo en cuenta las metas de los diferentes tipos de planes y las condiciones particulares regionales.</t>
  </si>
  <si>
    <t>Los ponderadores de las fases de POMCAS, PMA y PMM en el cuatrienio son los siguientes:</t>
  </si>
  <si>
    <r>
      <t>Plan de Ordenación y Manejo de Cuenca (POMCA)</t>
    </r>
    <r>
      <rPr>
        <sz val="9"/>
        <color rgb="FF000000"/>
        <rFont val="Calibri"/>
        <family val="2"/>
        <scheme val="minor"/>
      </rPr>
      <t xml:space="preserve">: </t>
    </r>
  </si>
  <si>
    <t>Fase</t>
  </si>
  <si>
    <t>Ponderación fase</t>
  </si>
  <si>
    <t>Ponderación acumulada</t>
  </si>
  <si>
    <r>
      <t>1.</t>
    </r>
    <r>
      <rPr>
        <sz val="7"/>
        <color rgb="FF000000"/>
        <rFont val="Times New Roman"/>
        <family val="1"/>
      </rPr>
      <t xml:space="preserve"> </t>
    </r>
    <r>
      <rPr>
        <sz val="9"/>
        <color rgb="FF000000"/>
        <rFont val="Calibri"/>
        <family val="2"/>
        <scheme val="minor"/>
      </rPr>
      <t>Procesos formales previos</t>
    </r>
  </si>
  <si>
    <r>
      <t>2.</t>
    </r>
    <r>
      <rPr>
        <sz val="7"/>
        <color rgb="FF000000"/>
        <rFont val="Times New Roman"/>
        <family val="1"/>
      </rPr>
      <t xml:space="preserve"> </t>
    </r>
    <r>
      <rPr>
        <sz val="9"/>
        <color rgb="FF000000"/>
        <rFont val="Calibri"/>
        <family val="2"/>
        <scheme val="minor"/>
      </rPr>
      <t>Fase de Aprestamiento</t>
    </r>
  </si>
  <si>
    <r>
      <t>3.</t>
    </r>
    <r>
      <rPr>
        <sz val="7"/>
        <color rgb="FF000000"/>
        <rFont val="Times New Roman"/>
        <family val="1"/>
      </rPr>
      <t xml:space="preserve"> </t>
    </r>
    <r>
      <rPr>
        <sz val="9"/>
        <color rgb="FF000000"/>
        <rFont val="Calibri"/>
        <family val="2"/>
        <scheme val="minor"/>
      </rPr>
      <t>Fase Diagnóstico</t>
    </r>
  </si>
  <si>
    <r>
      <t>4.</t>
    </r>
    <r>
      <rPr>
        <sz val="7"/>
        <color rgb="FF000000"/>
        <rFont val="Times New Roman"/>
        <family val="1"/>
      </rPr>
      <t xml:space="preserve"> </t>
    </r>
    <r>
      <rPr>
        <sz val="9"/>
        <color rgb="FF000000"/>
        <rFont val="Calibri"/>
        <family val="2"/>
        <scheme val="minor"/>
      </rPr>
      <t>Fase de Prospectiva y Zonificación Ambiental</t>
    </r>
  </si>
  <si>
    <r>
      <t>5.</t>
    </r>
    <r>
      <rPr>
        <sz val="7"/>
        <color rgb="FF000000"/>
        <rFont val="Times New Roman"/>
        <family val="1"/>
      </rPr>
      <t xml:space="preserve"> </t>
    </r>
    <r>
      <rPr>
        <sz val="9"/>
        <color rgb="FF000000"/>
        <rFont val="Calibri"/>
        <family val="2"/>
        <scheme val="minor"/>
      </rPr>
      <t>Fase de Formulación</t>
    </r>
  </si>
  <si>
    <r>
      <t>1.</t>
    </r>
    <r>
      <rPr>
        <sz val="7"/>
        <color rgb="FF000000"/>
        <rFont val="Times New Roman"/>
        <family val="1"/>
      </rPr>
      <t xml:space="preserve">                </t>
    </r>
    <r>
      <rPr>
        <sz val="9"/>
        <color rgb="FF000000"/>
        <rFont val="Calibri"/>
        <family val="2"/>
        <scheme val="minor"/>
      </rPr>
      <t xml:space="preserve">Fase de Aprestamiento </t>
    </r>
  </si>
  <si>
    <r>
      <t>2.</t>
    </r>
    <r>
      <rPr>
        <sz val="7"/>
        <color rgb="FF000000"/>
        <rFont val="Times New Roman"/>
        <family val="1"/>
      </rPr>
      <t xml:space="preserve">                </t>
    </r>
    <r>
      <rPr>
        <sz val="9"/>
        <color rgb="FF000000"/>
        <rFont val="Calibri"/>
        <family val="2"/>
        <scheme val="minor"/>
      </rPr>
      <t>Fase Diagnóstico</t>
    </r>
  </si>
  <si>
    <r>
      <t>3.</t>
    </r>
    <r>
      <rPr>
        <sz val="7"/>
        <color rgb="FF000000"/>
        <rFont val="Times New Roman"/>
        <family val="1"/>
      </rPr>
      <t xml:space="preserve">                </t>
    </r>
    <r>
      <rPr>
        <sz val="9"/>
        <color rgb="FF000000"/>
        <rFont val="Calibri"/>
        <family val="2"/>
        <scheme val="minor"/>
      </rPr>
      <t>Fase de Formulación</t>
    </r>
  </si>
  <si>
    <r>
      <t>Plan de Manejo de Microcuencas</t>
    </r>
    <r>
      <rPr>
        <sz val="9"/>
        <color rgb="FF000000"/>
        <rFont val="Calibri"/>
        <family val="2"/>
        <scheme val="minor"/>
      </rPr>
      <t xml:space="preserve"> </t>
    </r>
  </si>
  <si>
    <r>
      <t>1.</t>
    </r>
    <r>
      <rPr>
        <sz val="7"/>
        <color rgb="FF000000"/>
        <rFont val="Times New Roman"/>
        <family val="1"/>
      </rPr>
      <t xml:space="preserve">                </t>
    </r>
    <r>
      <rPr>
        <sz val="9"/>
        <color rgb="FF000000"/>
        <rFont val="Calibri"/>
        <family val="2"/>
        <scheme val="minor"/>
      </rPr>
      <t>Fase de Aprestamiento</t>
    </r>
  </si>
  <si>
    <r>
      <t>Porcentaje de avance de la meta anual en la formulación de cada plan</t>
    </r>
    <r>
      <rPr>
        <sz val="9"/>
        <color rgb="FF000000"/>
        <rFont val="Calibri"/>
        <family val="2"/>
        <scheme val="minor"/>
      </rPr>
      <t xml:space="preserve"> (ejemplo: POMCA de Cuenca Río Frío)</t>
    </r>
  </si>
  <si>
    <t>Es resultado del cociente entre el avance en la formulación de cada plan y la meta anual en la formulación de un determinado plan, al cierre de cada vigencia.</t>
  </si>
  <si>
    <t xml:space="preserve"> * 100</t>
  </si>
  <si>
    <r>
      <t xml:space="preserve">PAMAP </t>
    </r>
    <r>
      <rPr>
        <vertAlign val="subscript"/>
        <sz val="9"/>
        <color rgb="FF000000"/>
        <rFont val="Calibri"/>
        <family val="2"/>
        <scheme val="minor"/>
      </rPr>
      <t>zt</t>
    </r>
    <r>
      <rPr>
        <sz val="9"/>
        <color rgb="FF000000"/>
        <rFont val="Calibri"/>
        <family val="2"/>
        <scheme val="minor"/>
      </rPr>
      <t xml:space="preserve"> = Porcentaje de avance de la meta anual del Plan z, en el tiempo t.</t>
    </r>
  </si>
  <si>
    <r>
      <t xml:space="preserve">PAFP </t>
    </r>
    <r>
      <rPr>
        <vertAlign val="subscript"/>
        <sz val="9"/>
        <color rgb="FF000000"/>
        <rFont val="Calibri"/>
        <family val="2"/>
        <scheme val="minor"/>
      </rPr>
      <t>zt</t>
    </r>
    <r>
      <rPr>
        <sz val="9"/>
        <color rgb="FF000000"/>
        <rFont val="Calibri"/>
        <family val="2"/>
        <scheme val="minor"/>
      </rPr>
      <t xml:space="preserve"> = Porcentaje de avance en la formulación del Plan z, en el tiempo t.</t>
    </r>
  </si>
  <si>
    <r>
      <t>MFP</t>
    </r>
    <r>
      <rPr>
        <vertAlign val="subscript"/>
        <sz val="9"/>
        <color rgb="FF000000"/>
        <rFont val="Calibri"/>
        <family val="2"/>
        <scheme val="minor"/>
      </rPr>
      <t xml:space="preserve"> zt</t>
    </r>
    <r>
      <rPr>
        <sz val="9"/>
        <color rgb="FF000000"/>
        <rFont val="Calibri"/>
        <family val="2"/>
        <scheme val="minor"/>
      </rPr>
      <t xml:space="preserve"> = Meta anual de avance (%) en la formulación del plan z, en el tiempo t.</t>
    </r>
  </si>
  <si>
    <r>
      <t xml:space="preserve">Porcentaje promedio de avance anual en la formulación de los planes </t>
    </r>
    <r>
      <rPr>
        <sz val="9"/>
        <color rgb="FF000000"/>
        <rFont val="Calibri"/>
        <family val="2"/>
        <scheme val="minor"/>
      </rPr>
      <t>(ejemplo: los POMCAS priorizados para el cuatrienio)</t>
    </r>
  </si>
  <si>
    <t>El cálculo del Porcentaje promedio de avance anual en la formulación de los planes se obtiene de la siguiente manera:</t>
  </si>
  <si>
    <r>
      <t xml:space="preserve">PPAP </t>
    </r>
    <r>
      <rPr>
        <vertAlign val="subscript"/>
        <sz val="9"/>
        <color rgb="FF000000"/>
        <rFont val="Calibri"/>
        <family val="2"/>
        <scheme val="minor"/>
      </rPr>
      <t>it</t>
    </r>
    <r>
      <rPr>
        <sz val="9"/>
        <color rgb="FF000000"/>
        <rFont val="Calibri"/>
        <family val="2"/>
        <scheme val="minor"/>
      </rPr>
      <t xml:space="preserve"> = Porcentaje promedio de avance anual en la formulación de los planes i, en el tiempo t.</t>
    </r>
  </si>
  <si>
    <r>
      <t xml:space="preserve">PAMAP </t>
    </r>
    <r>
      <rPr>
        <vertAlign val="subscript"/>
        <sz val="9"/>
        <color rgb="FF000000"/>
        <rFont val="Calibri"/>
        <family val="2"/>
        <scheme val="minor"/>
      </rPr>
      <t>zt</t>
    </r>
    <r>
      <rPr>
        <sz val="9"/>
        <color rgb="FF000000"/>
        <rFont val="Calibri"/>
        <family val="2"/>
        <scheme val="minor"/>
      </rPr>
      <t xml:space="preserve"> = Porcentaje de avance de la meta anual en la formulación del Plan z, en el tiempo t.</t>
    </r>
  </si>
  <si>
    <r>
      <t xml:space="preserve">N </t>
    </r>
    <r>
      <rPr>
        <vertAlign val="subscript"/>
        <sz val="9"/>
        <color rgb="FF000000"/>
        <rFont val="Calibri"/>
        <family val="2"/>
        <scheme val="minor"/>
      </rPr>
      <t>t</t>
    </r>
    <r>
      <rPr>
        <sz val="9"/>
        <color rgb="FF000000"/>
        <rFont val="Calibri"/>
        <family val="2"/>
        <scheme val="minor"/>
      </rPr>
      <t xml:space="preserve"> = número total de planes en el tiempo t</t>
    </r>
  </si>
  <si>
    <r>
      <t xml:space="preserve">i = </t>
    </r>
    <r>
      <rPr>
        <sz val="9"/>
        <color rgb="FF000000"/>
        <rFont val="Calibri"/>
        <family val="2"/>
        <scheme val="minor"/>
      </rPr>
      <t>Planes de Ordenación y Manejo de Cuencas (POMCAS), Planes de Manejo de Acuíferos (PMA) y Planes de Manejo de Microcuencas (PMM)</t>
    </r>
    <r>
      <rPr>
        <i/>
        <sz val="9"/>
        <color rgb="FF000000"/>
        <rFont val="Calibri"/>
        <family val="2"/>
        <scheme val="minor"/>
      </rPr>
      <t xml:space="preserve"> </t>
    </r>
  </si>
  <si>
    <t>Datos reportados por la Corporación</t>
  </si>
  <si>
    <t>Datos establecidos por el MADS</t>
  </si>
  <si>
    <t>Datos calculados por el sistema</t>
  </si>
  <si>
    <t>Porcentaje de cuerpos de agua con planes de ordenamiento del recurso hídrico (PORH) adoptados</t>
  </si>
  <si>
    <t>Es la relación entre el número de cuerpos de agua con planes de ordenamiento del recurso hídrico (PORH) adoptados y la meta de cuerpos de agua priorizados para la adopción de dichos planes por parte de la autoridad ambiental.</t>
  </si>
  <si>
    <t>El indicador mide el cumplimiento de las metas que la autoridad ambiental se ha propuesto alcanzar en relación con el número de cuerpos de agua con planes de ordenamiento del recurso hídrico (PORH) adoptados.</t>
  </si>
  <si>
    <t>Normatividad relacionada:</t>
  </si>
  <si>
    <t>Decreto Ley 2811/74, Decreto-Ley 1875 de 1979</t>
  </si>
  <si>
    <t>Ley 99 de 1993. Ley Marco del Medio Ambiente.</t>
  </si>
  <si>
    <t>Decreto 1076 de 2015,</t>
  </si>
  <si>
    <t>Resolución 509 de 2013. Define los lineamientos para la conformación de los Consejos de Cuenca y su participación en las fases del plan de ordenación y manejo de la cuenca</t>
  </si>
  <si>
    <t>Resolución 1907 de 2013. Expide la Guía técnica para la formulación de los planes de ordenación y manejo de cuencas hidrográficas.</t>
  </si>
  <si>
    <t>Resolución 1207 de 2014. Adopta disposiciones relacionadas con el uso de aguas residuales tratadas.</t>
  </si>
  <si>
    <t>Documentación de referencia:</t>
  </si>
  <si>
    <t>Política Nacional de Gestión Integral del Recurso Hídrico – PNGIRH.</t>
  </si>
  <si>
    <t>El Plan de Ordenamiento del Recurso Hídrico- PORH es el instrumento de planificación que se rige por lo dispuesto en el Decreto 1076 de 2015.</t>
  </si>
  <si>
    <r>
      <t xml:space="preserve">PPORHA </t>
    </r>
    <r>
      <rPr>
        <vertAlign val="subscript"/>
        <sz val="9"/>
        <color rgb="FF000000"/>
        <rFont val="Calibri"/>
        <family val="2"/>
        <scheme val="minor"/>
      </rPr>
      <t>t</t>
    </r>
    <r>
      <rPr>
        <sz val="9"/>
        <color rgb="FF000000"/>
        <rFont val="Calibri"/>
        <family val="2"/>
        <scheme val="minor"/>
      </rPr>
      <t xml:space="preserve"> = Porcentaje de cuerpos de agua con planes de ordenamiento del recurso hídrico (PORH) adoptados, en el tiempo t.</t>
    </r>
  </si>
  <si>
    <r>
      <t xml:space="preserve">PORHA </t>
    </r>
    <r>
      <rPr>
        <vertAlign val="subscript"/>
        <sz val="9"/>
        <color rgb="FF000000"/>
        <rFont val="Calibri"/>
        <family val="2"/>
        <scheme val="minor"/>
      </rPr>
      <t>t</t>
    </r>
    <r>
      <rPr>
        <sz val="9"/>
        <color rgb="FF000000"/>
        <rFont val="Calibri"/>
        <family val="2"/>
        <scheme val="minor"/>
      </rPr>
      <t xml:space="preserve"> = Número de Cuerpos de agua con planes de ordenamiento del recurso hídrico adoptados, en el tiempo t.</t>
    </r>
  </si>
  <si>
    <r>
      <t xml:space="preserve">MPORHA </t>
    </r>
    <r>
      <rPr>
        <vertAlign val="subscript"/>
        <sz val="9"/>
        <color rgb="FF000000"/>
        <rFont val="Calibri"/>
        <family val="2"/>
        <scheme val="minor"/>
      </rPr>
      <t>t</t>
    </r>
    <r>
      <rPr>
        <sz val="9"/>
        <color rgb="FF000000"/>
        <rFont val="Calibri"/>
        <family val="2"/>
        <scheme val="minor"/>
      </rPr>
      <t xml:space="preserve"> = Meta de Cuerpos de agua con plan de ordenamiento del recurso hídrico adoptados, en el tiempo t.</t>
    </r>
  </si>
  <si>
    <t>La meta de número de cuerpos de agua con planes de ordenamiento del recurso hídrico adoptados es establecida en el Plan de Acción de la Corporación.</t>
  </si>
  <si>
    <t>Número total de cuerpos de agua sujeto de reglamentación de planes de ordenamiento del recurso hídrico (PORH):</t>
  </si>
  <si>
    <t>Número total de Cuerpos de agua con plan de ordenamiento del recurso hídrico (PORH) priorizados por la Corporación para su adopción durante el cuatrienio:</t>
  </si>
  <si>
    <t>Variable</t>
  </si>
  <si>
    <t>Total</t>
  </si>
  <si>
    <t>A</t>
  </si>
  <si>
    <t>Meta de cuerpos de agua con planes de ordenamiento del recurso hídrico (PORH) adoptados MPORHA</t>
  </si>
  <si>
    <t>B</t>
  </si>
  <si>
    <t>Número de cuerpos de agua con planes de ordenamiento del recurso hídrico adoptados (PORHA)</t>
  </si>
  <si>
    <t>C</t>
  </si>
  <si>
    <t>Porcentaje de Cuerpos de agua con planes de ordenamiento del recurso hídrico adoptados (PPORHA) (C = B / A)</t>
  </si>
  <si>
    <t>Cuanto más cercano a cien por ciento, mayor es el cumplimiento de las metas que la autoridad ambiental se ha propuesto alcanzar en relación con el número de cuerpos de agua con planes de ordenamiento del recurso hídrico (PORH) adoptados.</t>
  </si>
  <si>
    <t>Se pueden presentar situaciones de orden operativo, político y social que pueden afectar la ejecución de los presupuestos y el cumplimiento de los cronogramas definidos en el Plan de Acción de la Corporación.</t>
  </si>
  <si>
    <t>Dirección de Ordenamiento Territorial y Coordinación del Sistema Ambiental - SINA</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</si>
  <si>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Cuerpos de agua con planes de ordenamiento del recurso hídrico (PORH) adoptados (Versión 1.0).</t>
    </r>
    <r>
      <rPr>
        <sz val="9"/>
        <color rgb="FF000000"/>
        <rFont val="Calibri"/>
        <family val="2"/>
        <scheme val="minor"/>
      </rPr>
      <t xml:space="preserve"> Ministerio de Ambiente y Desarrollo Sostenible, DGOAT-SINA y DRH.</t>
    </r>
  </si>
  <si>
    <t>Porcentaje de Planes de Saneamiento y Manejo de Vertimientos (PSMV) con seguimiento</t>
  </si>
  <si>
    <t>Es la relación entre el número de Planes de Saneamiento y Manejo de Vertimientos (PSMV) con seguimiento con respecto a la meta de seguimiento de dichos planes por parte de la autoridad ambiental.</t>
  </si>
  <si>
    <t>El indicador mide el cumplimiento de las metas que la autoridad ambiental se ha propuesto alcanzar en relación con el seguimiento a los Planes de Saneamiento y Manejo de Vertimientos (PSMV).</t>
  </si>
  <si>
    <t>Decreto 1076 de 2015</t>
  </si>
  <si>
    <t>Resolución SSPD 20151300054195 de 2015</t>
  </si>
  <si>
    <t>Resolución 1433 de 2004 del MAVDT</t>
  </si>
  <si>
    <t>Resolución 2145 de 2005 de MAVDT</t>
  </si>
  <si>
    <t>El prestador del servicio de alcantarillado como usuario del recurso hídrico, deberá dar cumplimiento a la norma de vertimiento vigente y contar con el respectivo permiso de vertimiento o con el Plan de Saneamiento y Manejo de Vertimientos – PSMV reglamentado por la Resolución 1433 de 2004 del Ministerio de Ambiente y Desarrollo Sostenible.</t>
  </si>
  <si>
    <t>Por su parte, las autoridades ambientales deberán realizar el seguimiento, control y verificación del cumplimiento de lo dispuesto en los permisos de vertimiento, los Planes de Cumplimiento y Planes de Saneamiento y Manejo de Vertimientos, y efectuarán inspecciones periódicas a todos los usuarios.</t>
  </si>
  <si>
    <t>El incumplimiento de los términos, condiciones y obligaciones previstos en el permiso de vertimiento, Plan de Cumplimiento o Plan de Saneamiento y Manejo de Vertimientos, dará lugar a la imposición de las medidas preventivas y sancionatorias, siguiendo el procedimiento previsto en la Ley 1333 de 2009 o la norma que la adicione, modifique o sustituya.</t>
  </si>
  <si>
    <r>
      <t xml:space="preserve">PPSMVCS </t>
    </r>
    <r>
      <rPr>
        <vertAlign val="subscript"/>
        <sz val="9"/>
        <color rgb="FF000000"/>
        <rFont val="Calibri"/>
        <family val="2"/>
        <scheme val="minor"/>
      </rPr>
      <t>t</t>
    </r>
    <r>
      <rPr>
        <sz val="9"/>
        <color rgb="FF000000"/>
        <rFont val="Calibri"/>
        <family val="2"/>
        <scheme val="minor"/>
      </rPr>
      <t xml:space="preserve"> = Porcentaje de Planes de Saneamiento y Manejo de Vertimientos (PSMV) con seguimiento, en el tiempo t.</t>
    </r>
  </si>
  <si>
    <r>
      <t xml:space="preserve">PSMVCS </t>
    </r>
    <r>
      <rPr>
        <vertAlign val="subscript"/>
        <sz val="9"/>
        <color rgb="FF000000"/>
        <rFont val="Calibri"/>
        <family val="2"/>
        <scheme val="minor"/>
      </rPr>
      <t>t</t>
    </r>
    <r>
      <rPr>
        <sz val="9"/>
        <color rgb="FF000000"/>
        <rFont val="Calibri"/>
        <family val="2"/>
        <scheme val="minor"/>
      </rPr>
      <t xml:space="preserve"> = Número de Planes de Saneamiento y Manejo de Vertimientos con seguimiento, en el tiempo t.</t>
    </r>
  </si>
  <si>
    <r>
      <t xml:space="preserve">MPSMVCS </t>
    </r>
    <r>
      <rPr>
        <vertAlign val="subscript"/>
        <sz val="9"/>
        <color rgb="FF000000"/>
        <rFont val="Calibri"/>
        <family val="2"/>
        <scheme val="minor"/>
      </rPr>
      <t>t</t>
    </r>
    <r>
      <rPr>
        <sz val="9"/>
        <color rgb="FF000000"/>
        <rFont val="Calibri"/>
        <family val="2"/>
        <scheme val="minor"/>
      </rPr>
      <t xml:space="preserve"> = Meta de Planes de Saneamiento y Manejo de Vertimientos con seguimiento, en el tiempo t.</t>
    </r>
  </si>
  <si>
    <t>La meta de número de Planes de Saneamiento y Manejo de Vertimientos sujetos a seguimiento es establecida en el Plan de Acción de la Corporación.</t>
  </si>
  <si>
    <t>Número total de Planes de Saneamiento y Manejo de Vertimientos (PSMV) aprobados por la Corporación:</t>
  </si>
  <si>
    <t>Número total de Planes de Saneamiento y Manejo de Vertimientos (PSMV) priorizados por la Corporación para hacer seguimiento en el cuatrienio:</t>
  </si>
  <si>
    <t>Meta de Planes de Saneamiento y Manejo de Vertimientos (PSMV) con seguimiento MPSMVCS</t>
  </si>
  <si>
    <t>Número de Planes de Saneamiento y Manejo de Vertimientos con seguimiento (PSMVCS)</t>
  </si>
  <si>
    <t>Porcentaje de Planes de Saneamiento y Manejo de Vertimientos con seguimiento (PPSMVCS) (C = B / A)</t>
  </si>
  <si>
    <t>Cuanto más cercano a cien por ciento, mayor es el cumplimiento de las metas que la autoridad ambiental se ha propuesto alcanzar en relación con el seguimiento a los Planes de Saneamiento y Manejo de Vertimientos (PSMV)</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</si>
  <si>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Planes de Saneamiento y Manejo de Vertimientos (PSMV) con seguimiento (Versión 1.0).</t>
    </r>
    <r>
      <rPr>
        <sz val="9"/>
        <color rgb="FF000000"/>
        <rFont val="Calibri"/>
        <family val="2"/>
        <scheme val="minor"/>
      </rPr>
      <t xml:space="preserve"> Ministerio de Ambiente y Desarrollo Sostenible, DGOAT-SINA y DRH.</t>
    </r>
  </si>
  <si>
    <t>Porcentaje de cuerpos de agua con reglamentación del uso de las aguas</t>
  </si>
  <si>
    <t>Es la relación entre el número de cuerpos de agua con reglamentación del uso de las aguas y la meta de cuerpos de agua a ser reglamentados en su uso de las aguas por parte de la autoridad ambiental.</t>
  </si>
  <si>
    <t>El indicador mide el cumplimiento de las metas que la autoridad ambiental se ha propuesto alcanzar en relación con el número de cuerpos de agua con reglamentación del uso de las aguas.</t>
  </si>
  <si>
    <t>La reglamentación del uso de las aguas es un instrumento que busca distribuir adecuadamente el agua en las corrientes hídricas, establecer obras de captación y conducción para el uso racional del recurso hídrico, legalizar el uso del agua, incentivar un manejo responsable del caudal otorgado y un uso eficiente del recurso.</t>
  </si>
  <si>
    <t>Así mismo el decreto 1076 de 2015, precisa que: “en todo caso, el Plan de Ordenamiento del Recurso Hídrico deberá definir la conveniencia de adelantar la reglamentación del uso de las aguas, de conformidad con lo establecido en el artículo 2.2.3.2.13.2 del presente Decreto o la norma que lo modifique o sustituya, y la reglamentación de vertimientos según lo dispuesto en el presente decreto o de administrar el cuerpo de agua a través de concesiones de agua y permisos de vertimiento. Así mismo, dará lugar al ajuste de la reglamentación del uso de las aguas, de la reglamentación de vertimientos, de las concesiones, de los permisos de vertimiento, de los planes de cumplimiento y de los planes de saneamiento y manejo de vertimientos y de las metas de reducción, según el caso.”</t>
  </si>
  <si>
    <t>De lo anterior se concluye que adelantar los procedimientos mencionados obedecerá a los resultados de los análisis elaborados en el PORH.</t>
  </si>
  <si>
    <r>
      <t xml:space="preserve">PRUA </t>
    </r>
    <r>
      <rPr>
        <vertAlign val="subscript"/>
        <sz val="9"/>
        <color rgb="FF000000"/>
        <rFont val="Calibri"/>
        <family val="2"/>
        <scheme val="minor"/>
      </rPr>
      <t>t</t>
    </r>
    <r>
      <rPr>
        <sz val="9"/>
        <color rgb="FF000000"/>
        <rFont val="Calibri"/>
        <family val="2"/>
        <scheme val="minor"/>
      </rPr>
      <t xml:space="preserve"> = Porcentaje de cuerpos de agua con reglamentación del uso de las aguas, en el tiempo t.</t>
    </r>
  </si>
  <si>
    <r>
      <t xml:space="preserve">RUA </t>
    </r>
    <r>
      <rPr>
        <vertAlign val="subscript"/>
        <sz val="9"/>
        <color rgb="FF000000"/>
        <rFont val="Calibri"/>
        <family val="2"/>
        <scheme val="minor"/>
      </rPr>
      <t>t</t>
    </r>
    <r>
      <rPr>
        <sz val="9"/>
        <color rgb="FF000000"/>
        <rFont val="Calibri"/>
        <family val="2"/>
        <scheme val="minor"/>
      </rPr>
      <t xml:space="preserve"> = Número de cuerpos de agua con reglamentación del uso de las aguas, en el tiempo t.</t>
    </r>
  </si>
  <si>
    <r>
      <t xml:space="preserve">MRUA </t>
    </r>
    <r>
      <rPr>
        <vertAlign val="subscript"/>
        <sz val="9"/>
        <color rgb="FF000000"/>
        <rFont val="Calibri"/>
        <family val="2"/>
        <scheme val="minor"/>
      </rPr>
      <t>t</t>
    </r>
    <r>
      <rPr>
        <sz val="9"/>
        <color rgb="FF000000"/>
        <rFont val="Calibri"/>
        <family val="2"/>
        <scheme val="minor"/>
      </rPr>
      <t xml:space="preserve"> = Meta de número de cuerpos de agua con reglamentación del uso de las aguas, en el tiempo t.</t>
    </r>
  </si>
  <si>
    <t>La meta de número de cuerpos de agua con reglamentación del uso de las aguas es establecida en el Plan de Acción de la Corporación.</t>
  </si>
  <si>
    <t>Número total de cuerpos de agua sujeto de reglamentación del uso de las aguas:</t>
  </si>
  <si>
    <t>Número total de cuerpos de agua a ser reglamentados en su uso de las aguas durante el cuatrienio:</t>
  </si>
  <si>
    <t>Meta de cuerpos de agua con reglamentación del uso de las aguas (MRUA)</t>
  </si>
  <si>
    <t>Número de cuerpos de agua con reglamentación del uso de las aguas (RUA)</t>
  </si>
  <si>
    <t>Porcentaje de Cuerpos de agua con reglamentación del uso de las aguas (PRUA) (C = B / A)</t>
  </si>
  <si>
    <t>Cuanto más cercano a cien por ciento, mayor es el cumplimiento de las metas que la autoridad ambiental se ha propuesto alcanzar en relación con el número de cuerpos de agua con reglamentación del uso de las aguas.</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</si>
  <si>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Cuerpos de agua con reglamentación del uso de las aguas (Versión 1.0).</t>
    </r>
    <r>
      <rPr>
        <sz val="9"/>
        <color rgb="FF000000"/>
        <rFont val="Calibri"/>
        <family val="2"/>
        <scheme val="minor"/>
      </rPr>
      <t xml:space="preserve"> Ministerio de Ambiente y Desarrollo Sostenible, DGOAT-SINA y DRH.</t>
    </r>
  </si>
  <si>
    <t>Porcentaje de Programas de Uso Eficiente y Ahorro del Agua (PUEAA) con seguimiento</t>
  </si>
  <si>
    <t>Es la relación entre el número de Programas de Uso Eficiente y Ahorro del Agua (PUEAA) con seguimiento con respecto a la meta de seguimiento de dichos planes por parte de la autoridad ambiental.</t>
  </si>
  <si>
    <t>El indicador mide el cumplimiento de las metas que la autoridad ambiental se ha propuesto alcanzar en relación con el seguimiento a los Programas de Uso Eficiente y Ahorro del Agua (PUEAA).</t>
  </si>
  <si>
    <t>Ley 1437 de 2011</t>
  </si>
  <si>
    <t>Ley 373 de 1997</t>
  </si>
  <si>
    <t>Ley 1450 de 2011 (literal h del artículo 215) (vigente)</t>
  </si>
  <si>
    <t>La Ley 373 de 1997 define por programa para el uso eficiente y ahorro de agua el conjunto de proyectos y acciones que deben elaborar y adoptar las entidades encargadas de la prestación de los servicios de acueducto, alcantarillado, riego y drenaje, producción hidroeléctrica y demás usuarios del recurso hídrico. Así mismo, la mencionada Ley establece que todo plan ambiental regional y municipal debe incorporar obligatoriamente un programa para el uso eficiente y ahorro de agua.</t>
  </si>
  <si>
    <t>Adicionalmente, la citada Ley determina que las Corporaciones Autónomas Regionales y demás autoridades ambientales encargadas del manejo, protección y control del recurso hídrico en su respectiva jurisdicción, aprobarán la implantación y ejecución de dichos programas en coordinación con otras corporaciones autónomas que compartan las fuentes que abastecen los diferentes usos.</t>
  </si>
  <si>
    <t>El Programa de Uso Eficiente y Ahorro del Agua (PUEAA) es quinquenal y deberá estar basado en el diagnóstico de la oferta hídrica de las fuentes de abastecimiento y la demanda de agua, y contener las metas anuales de reducción de pérdidas, las campañas educativas a la comunidad, la utilización de aguas superficiales, lluvias y subterráneas, los incentivos y otros aspectos que definan las Corporaciones Autónomas Regionales y demás autoridades ambientales, las entidades prestadoras de los servicios de acueducto y alcantarillado, las que manejen proyectos de riego y drenaje, las hidroeléctricas y demás usuarios del recurso, que se consideren convenientes para el cumplimiento del programa.</t>
  </si>
  <si>
    <t>Por su parte, el literal h del artículo 215 de la Ley 1450 de 2011 (vigente) estableció la competencia de las corporaciones autónomas regionales en el seguimiento a los Planes de Uso Eficiente y Ahorro del Agua.</t>
  </si>
  <si>
    <r>
      <t xml:space="preserve">PPUEAACS </t>
    </r>
    <r>
      <rPr>
        <vertAlign val="subscript"/>
        <sz val="9"/>
        <color rgb="FF000000"/>
        <rFont val="Calibri"/>
        <family val="2"/>
        <scheme val="minor"/>
      </rPr>
      <t>t</t>
    </r>
    <r>
      <rPr>
        <sz val="9"/>
        <color rgb="FF000000"/>
        <rFont val="Calibri"/>
        <family val="2"/>
        <scheme val="minor"/>
      </rPr>
      <t xml:space="preserve"> = Porcentaje de Programas de Uso Eficiente y Ahorro del Agua (PUEAA) con seguimiento, en el tiempo t.</t>
    </r>
  </si>
  <si>
    <r>
      <t xml:space="preserve">PUEAACS </t>
    </r>
    <r>
      <rPr>
        <vertAlign val="subscript"/>
        <sz val="9"/>
        <color rgb="FF000000"/>
        <rFont val="Calibri"/>
        <family val="2"/>
        <scheme val="minor"/>
      </rPr>
      <t>t</t>
    </r>
    <r>
      <rPr>
        <sz val="9"/>
        <color rgb="FF000000"/>
        <rFont val="Calibri"/>
        <family val="2"/>
        <scheme val="minor"/>
      </rPr>
      <t xml:space="preserve"> = Número de Programas de Uso Eficiente y Ahorro del Agua con seguimiento, en el tiempo t.</t>
    </r>
  </si>
  <si>
    <r>
      <t xml:space="preserve">MPUEAACS </t>
    </r>
    <r>
      <rPr>
        <vertAlign val="subscript"/>
        <sz val="9"/>
        <color rgb="FF000000"/>
        <rFont val="Calibri"/>
        <family val="2"/>
        <scheme val="minor"/>
      </rPr>
      <t>t</t>
    </r>
    <r>
      <rPr>
        <sz val="9"/>
        <color rgb="FF000000"/>
        <rFont val="Calibri"/>
        <family val="2"/>
        <scheme val="minor"/>
      </rPr>
      <t xml:space="preserve"> = Meta de Programas de Uso Eficiente y Ahorro del Agua con seguimiento, en el tiempo t.</t>
    </r>
  </si>
  <si>
    <t>La meta de número de Programas de Uso Eficiente y Ahorro del Agua sujetos a seguimiento es establecida en el Plan de Acción de la Corporación.</t>
  </si>
  <si>
    <t>Número total de Programas de Uso Eficiente y Ahorro del Agua (PUEAA) priorizados por la Corporación para hacer seguimiento en el cuatrienio:</t>
  </si>
  <si>
    <t>Meta de Programas de Uso Eficiente y Ahorro del Agua (PUEAA) con seguimiento MPUEAACS</t>
  </si>
  <si>
    <t>Número de Programas de Uso Eficiente y Ahorro del Agua con seguimiento (PPUEAACS)</t>
  </si>
  <si>
    <t>Porcentaje de Programas de Uso Eficiente y Ahorro del Agua con seguimiento (PPUEAACS) (C = B / A)</t>
  </si>
  <si>
    <t>Cuanto más cercano a cien por ciento, mayor es el cumplimiento de las metas que la autoridad ambiental se ha propuesto alcanzar en relación con el seguimiento a los Programas de Uso Eficiente y Ahorro del Agua (PUEAA)</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</si>
  <si>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Programas de Uso Eficiente y Ahorro del Agua (PUEAA) con seguimiento (Versión 1.0).</t>
    </r>
    <r>
      <rPr>
        <sz val="9"/>
        <color rgb="FF000000"/>
        <rFont val="Calibri"/>
        <family val="2"/>
        <scheme val="minor"/>
      </rPr>
      <t xml:space="preserve"> Ministerio de Ambiente y Desarrollo Sostenible, DGOAT-SINA y DRH.</t>
    </r>
  </si>
  <si>
    <t>Porcentaje de Planes de Ordenación y Manejo de Cuencas (POMCAS), Planes de Manejo de Acuíferos (PMA) y Planes de Manejo de Microcuencas (PMM) en ejecución</t>
  </si>
  <si>
    <t>Es el porcentaje de Planes de Ordenación y Manejo de Cuencas (POMCAS), Planes de Manejo de Acuíferos (PMA) y Planes de Manejo de Microcuencas (PMM) en ejecución, en relación con los Planes de Ordenación y Manejo de Cuencas (POMCAS), Planes de Manejo de Acuíferos (PMA) y Planes de Manejo de Microcuencas (PMM) aprobados en la corporación.</t>
  </si>
  <si>
    <t>El indicador mide el cumplimiento de las metas establecidas en relación con la ejecución de los Planes de Ordenación y Manejo de Cuencas (POMCAS), Planes de Manejo de Acuíferos (PMA) y Planes de Manejo de Microcuencas (PMM).</t>
  </si>
  <si>
    <t>Seguimiento a las metas del Plan Nacional de Desarrollo 2014-2018 (Planes Estratégicos de Macrocuenca, POMCA y PMA acuíferos en implementación)</t>
  </si>
  <si>
    <r>
      <t>Normatividad de soporte</t>
    </r>
    <r>
      <rPr>
        <sz val="9"/>
        <color rgb="FF000000"/>
        <rFont val="Calibri"/>
        <family val="2"/>
        <scheme val="minor"/>
      </rPr>
      <t>:</t>
    </r>
  </si>
  <si>
    <t>Resolución 1907 de 2013</t>
  </si>
  <si>
    <t>El Plan de Ordenación y manejo de Cuencas Hidrográficas (POMCA) es el instrumento a través del cual se realiza la planeación del adecuado uso del suelo, de las aguas, de la flora y la fauna; y el manejo de la cuenca, entendido como la ejecución de obras y tratamientos, con el propósito de mantener el equilibrio entre el aprovechamiento social y el aprovechamiento económico de tales recursos, así como la conservación de la estructura físico -biótica de la cuenca y particularmente del recurso hídrico.</t>
  </si>
  <si>
    <t>La implementación de los POMCAS es resultado de un esfuerzo conjunto de diversas instituciones presentes en la región. El indicador se centra en la implementación de las acciones previstas en los POMCAS que están a cargo de las corporaciones autónomas regionales, incluyendo el seguimiento por parte de la autoridad ambiental a los compromisos de las demás entidades responsables de la ejecución de los POMCAS.</t>
  </si>
  <si>
    <r>
      <t xml:space="preserve">PPEE </t>
    </r>
    <r>
      <rPr>
        <vertAlign val="subscript"/>
        <sz val="9"/>
        <color rgb="FF000000"/>
        <rFont val="Calibri"/>
        <family val="2"/>
        <scheme val="minor"/>
      </rPr>
      <t>t</t>
    </r>
    <r>
      <rPr>
        <sz val="9"/>
        <color rgb="FF000000"/>
        <rFont val="Calibri"/>
        <family val="2"/>
        <scheme val="minor"/>
      </rPr>
      <t xml:space="preserve"> = Porcentaje de Planes de Ordenación y Manejo de Cuencas (POMCAS), Planes de Manejo de Acuíferos (PMA) y Planes de Manejo de Microcuencas (PMM) en ejecución, en el tiempo t.</t>
    </r>
  </si>
  <si>
    <r>
      <t xml:space="preserve">PPOMCASEE </t>
    </r>
    <r>
      <rPr>
        <vertAlign val="subscript"/>
        <sz val="9"/>
        <color rgb="FF000000"/>
        <rFont val="Calibri"/>
        <family val="2"/>
        <scheme val="minor"/>
      </rPr>
      <t>t</t>
    </r>
    <r>
      <rPr>
        <sz val="9"/>
        <color rgb="FF000000"/>
        <rFont val="Calibri"/>
        <family val="2"/>
        <scheme val="minor"/>
      </rPr>
      <t xml:space="preserve"> = Porcentaje de Planes de Ordenación y Manejo de Cuencas (POMCAS) en ejecución, en el tiempo t.</t>
    </r>
  </si>
  <si>
    <r>
      <t xml:space="preserve">PPMAEE </t>
    </r>
    <r>
      <rPr>
        <vertAlign val="subscript"/>
        <sz val="9"/>
        <color rgb="FF000000"/>
        <rFont val="Calibri"/>
        <family val="2"/>
        <scheme val="minor"/>
      </rPr>
      <t>t</t>
    </r>
    <r>
      <rPr>
        <sz val="9"/>
        <color rgb="FF000000"/>
        <rFont val="Calibri"/>
        <family val="2"/>
        <scheme val="minor"/>
      </rPr>
      <t xml:space="preserve"> = Porcentaje de Planes de Manejo de Acuíferos (PMA) en ejecución, en el tiempo t.</t>
    </r>
  </si>
  <si>
    <r>
      <t xml:space="preserve">PPMMME </t>
    </r>
    <r>
      <rPr>
        <vertAlign val="subscript"/>
        <sz val="9"/>
        <color rgb="FF000000"/>
        <rFont val="Calibri"/>
        <family val="2"/>
        <scheme val="minor"/>
      </rPr>
      <t>t</t>
    </r>
    <r>
      <rPr>
        <sz val="9"/>
        <color rgb="FF000000"/>
        <rFont val="Calibri"/>
        <family val="2"/>
        <scheme val="minor"/>
      </rPr>
      <t xml:space="preserve"> = Porcentaje de Planes de Manejo de Microcuencas (PMM) en ejecución, en el tiempo t.</t>
    </r>
  </si>
  <si>
    <t>a = ponderador de PPOMCASEE</t>
  </si>
  <si>
    <t>b = ponderador de PPMAEE</t>
  </si>
  <si>
    <t>c = ponderador de PPMMME</t>
  </si>
  <si>
    <r>
      <t>Nota:</t>
    </r>
    <r>
      <rPr>
        <sz val="9"/>
        <color rgb="FF000000"/>
        <rFont val="Calibri"/>
        <family val="2"/>
        <scheme val="minor"/>
      </rPr>
      <t xml:space="preserve"> los ponderadores de las acciones serán definidos por las CAR teniendo en cuenta el presupuesto asignado para cada una de ellas. Por su parte, la ejecución de cada acción corresponde a la ejecución presupuestal de la acción (compromisos / presupuesto definitivo).</t>
    </r>
  </si>
  <si>
    <r>
      <t xml:space="preserve">Porcentaje de POMCAS en ejecución </t>
    </r>
    <r>
      <rPr>
        <sz val="9"/>
        <color rgb="FF000000"/>
        <rFont val="Calibri"/>
        <family val="2"/>
        <scheme val="minor"/>
      </rPr>
      <t>(PPOMCASEE)</t>
    </r>
  </si>
  <si>
    <r>
      <t xml:space="preserve">POMCASEE </t>
    </r>
    <r>
      <rPr>
        <vertAlign val="subscript"/>
        <sz val="9"/>
        <color rgb="FF000000"/>
        <rFont val="Calibri"/>
        <family val="2"/>
        <scheme val="minor"/>
      </rPr>
      <t>t</t>
    </r>
    <r>
      <rPr>
        <sz val="9"/>
        <color rgb="FF000000"/>
        <rFont val="Calibri"/>
        <family val="2"/>
        <scheme val="minor"/>
      </rPr>
      <t xml:space="preserve"> = Número de POMCAS en ejecución, en el tiempo t.</t>
    </r>
  </si>
  <si>
    <t>POMCASF = Número de POMCAS aprobados.</t>
  </si>
  <si>
    <r>
      <t>Porcentaje de PMA en ejecución (</t>
    </r>
    <r>
      <rPr>
        <sz val="9"/>
        <color rgb="FF000000"/>
        <rFont val="Calibri"/>
        <family val="2"/>
        <scheme val="minor"/>
      </rPr>
      <t>PPMAEE)</t>
    </r>
  </si>
  <si>
    <r>
      <t xml:space="preserve">PMAEE </t>
    </r>
    <r>
      <rPr>
        <vertAlign val="subscript"/>
        <sz val="9"/>
        <color rgb="FF000000"/>
        <rFont val="Calibri"/>
        <family val="2"/>
        <scheme val="minor"/>
      </rPr>
      <t>t</t>
    </r>
    <r>
      <rPr>
        <sz val="9"/>
        <color rgb="FF000000"/>
        <rFont val="Calibri"/>
        <family val="2"/>
        <scheme val="minor"/>
      </rPr>
      <t xml:space="preserve"> = Número de POMCAS en ejecución, en el tiempo t.</t>
    </r>
  </si>
  <si>
    <t>PMAF = Número de POMCAS aprobados.</t>
  </si>
  <si>
    <r>
      <t>Porcentaje de PMM en ejecución (</t>
    </r>
    <r>
      <rPr>
        <sz val="9"/>
        <color rgb="FF000000"/>
        <rFont val="Calibri"/>
        <family val="2"/>
        <scheme val="minor"/>
      </rPr>
      <t>PPMMEE)</t>
    </r>
  </si>
  <si>
    <r>
      <t xml:space="preserve">PPMMEE </t>
    </r>
    <r>
      <rPr>
        <vertAlign val="subscript"/>
        <sz val="9"/>
        <color rgb="FF000000"/>
        <rFont val="Calibri"/>
        <family val="2"/>
        <scheme val="minor"/>
      </rPr>
      <t>t</t>
    </r>
    <r>
      <rPr>
        <sz val="9"/>
        <color rgb="FF000000"/>
        <rFont val="Calibri"/>
        <family val="2"/>
        <scheme val="minor"/>
      </rPr>
      <t xml:space="preserve"> = Porcentaje de Planes de Manejo de Microcuencas (PMM) en ejecución, en el tiempo t.</t>
    </r>
  </si>
  <si>
    <r>
      <t xml:space="preserve">PMMEE </t>
    </r>
    <r>
      <rPr>
        <vertAlign val="subscript"/>
        <sz val="9"/>
        <color rgb="FF000000"/>
        <rFont val="Calibri"/>
        <family val="2"/>
        <scheme val="minor"/>
      </rPr>
      <t>t</t>
    </r>
    <r>
      <rPr>
        <sz val="9"/>
        <color rgb="FF000000"/>
        <rFont val="Calibri"/>
        <family val="2"/>
        <scheme val="minor"/>
      </rPr>
      <t xml:space="preserve"> = Número de PMM en ejecución, en el tiempo t.</t>
    </r>
  </si>
  <si>
    <t>PMMF = Número de PMM aprobados.</t>
  </si>
  <si>
    <t>Indicador complementario:</t>
  </si>
  <si>
    <t>Ejecución presupuestal de acciones relacionadas con la implementación de los POMCAS, PMA y PMM</t>
  </si>
  <si>
    <t>.</t>
  </si>
  <si>
    <r>
      <t xml:space="preserve">EPPAM </t>
    </r>
    <r>
      <rPr>
        <vertAlign val="subscript"/>
        <sz val="9"/>
        <color rgb="FF000000"/>
        <rFont val="Calibri"/>
        <family val="2"/>
        <scheme val="minor"/>
      </rPr>
      <t>t</t>
    </r>
    <r>
      <rPr>
        <sz val="9"/>
        <color rgb="FF000000"/>
        <rFont val="Calibri"/>
        <family val="2"/>
        <scheme val="minor"/>
      </rPr>
      <t xml:space="preserve"> = Ejecución presupuestal de acciones relacionadas con la implementación de los POMCAS, PMA y PMM, en el año t.</t>
    </r>
  </si>
  <si>
    <r>
      <t xml:space="preserve">CPAM </t>
    </r>
    <r>
      <rPr>
        <vertAlign val="subscript"/>
        <sz val="9"/>
        <color rgb="FF000000"/>
        <rFont val="Calibri"/>
        <family val="2"/>
        <scheme val="minor"/>
      </rPr>
      <t>it</t>
    </r>
    <r>
      <rPr>
        <sz val="9"/>
        <color rgb="FF000000"/>
        <rFont val="Calibri"/>
        <family val="2"/>
        <scheme val="minor"/>
      </rPr>
      <t xml:space="preserve"> = Compromisos correspondientes a la acción i relacionada con la implementación de los POMCAS, PMA y PMM, en el año t.</t>
    </r>
  </si>
  <si>
    <r>
      <t xml:space="preserve">PDPAM </t>
    </r>
    <r>
      <rPr>
        <vertAlign val="subscript"/>
        <sz val="9"/>
        <color rgb="FF000000"/>
        <rFont val="Calibri"/>
        <family val="2"/>
        <scheme val="minor"/>
      </rPr>
      <t>it</t>
    </r>
    <r>
      <rPr>
        <sz val="9"/>
        <color rgb="FF000000"/>
        <rFont val="Calibri"/>
        <family val="2"/>
        <scheme val="minor"/>
      </rPr>
      <t xml:space="preserve"> = Presupuesto definitivo a la acción i relacionada con la implementación de los POMCAS, PMA y PMM, en el año t.</t>
    </r>
  </si>
  <si>
    <t>Reporte de ejecución de POMCAS, PMA y PMM</t>
  </si>
  <si>
    <t>Número / Año</t>
  </si>
  <si>
    <t>Acumulado</t>
  </si>
  <si>
    <t>Número de POMCAS aprobados</t>
  </si>
  <si>
    <t>Número de POMCAS en ejecución</t>
  </si>
  <si>
    <t>Número de PMA aprobados</t>
  </si>
  <si>
    <t>D</t>
  </si>
  <si>
    <t>Número de PMA en ejecución</t>
  </si>
  <si>
    <t>E</t>
  </si>
  <si>
    <t>Número de PMM aprobados</t>
  </si>
  <si>
    <t>F</t>
  </si>
  <si>
    <t>Número de PMM en ejecución</t>
  </si>
  <si>
    <t>G</t>
  </si>
  <si>
    <t>Porcentaje de POMCAS en ejecución (G = B / A)</t>
  </si>
  <si>
    <t>H</t>
  </si>
  <si>
    <t>Porcentaje de PMA en ejecución (H = D /C)</t>
  </si>
  <si>
    <t>I</t>
  </si>
  <si>
    <t>Porcentaje de PMM en ejecución (I = F / E)</t>
  </si>
  <si>
    <t>Nombre de acción / proyecto (*)</t>
  </si>
  <si>
    <t>Plan</t>
  </si>
  <si>
    <t>PPTO Inicial</t>
  </si>
  <si>
    <t>PPTO. Def.</t>
  </si>
  <si>
    <t>Compromisos</t>
  </si>
  <si>
    <t>Pagos</t>
  </si>
  <si>
    <t>(*) nombre del proyecto o actividad en el Plan de Acción de la Corporación. Utilice tantas filas cuantas sean necesarias</t>
  </si>
  <si>
    <t>Cuanto más cercano a cien por ciento, mayor es el cumplimiento de las metas establecidas en relación con la implementación de los Planes de Ordenación y Manejo de Cuencas (POMCAS), Planes de Manejo de Acuíferos (PMA) y Planes de Manejo de Microcuencas (PMM) aprobados.</t>
  </si>
  <si>
    <t>Se pueden presentar situaciones de orden operativo, político y social que pueden afectar los cronogramas definidos.</t>
  </si>
  <si>
    <r>
      <t>Hoja Metodológica de referencia:</t>
    </r>
    <r>
      <rPr>
        <sz val="9"/>
        <color rgb="FF000000"/>
        <rFont val="Calibri"/>
        <family val="2"/>
        <scheme val="minor"/>
      </rPr>
      <t xml:space="preserve"> MADS (2016). </t>
    </r>
    <r>
      <rPr>
        <i/>
        <sz val="9"/>
        <color rgb="FF000000"/>
        <rFont val="Calibri"/>
        <family val="2"/>
        <scheme val="minor"/>
      </rPr>
      <t>Hoja metodológica de Planes de Ordenación y Manejo de Cuencas (POMCAS), Planes de Manejo de Acuíferos (PMA) y Planes de Manejo de Microcuencas (PMM) en ejecución (Versión 1.0).</t>
    </r>
    <r>
      <rPr>
        <sz val="9"/>
        <color rgb="FF000000"/>
        <rFont val="Calibri"/>
        <family val="2"/>
        <scheme val="minor"/>
      </rPr>
      <t xml:space="preserve"> Ministerio de Ambiente y Desarrollo Sostenible MADS, DGOAT-SINA y DRH.</t>
    </r>
  </si>
  <si>
    <t>Porcentaje de entes territoriales asesorados en la incorporación, planificación y ejecución de acciones relacionadas con cambio climático en el marco de los instrumentos de planificación territorial</t>
  </si>
  <si>
    <t>Es la relación entre el número de entes territoriales asesorados en la incorporación, planificación y ejecución de acciones relacionadas con cambio climático en el marco de los instrumentos de planificación territorial, con respecto a la meta de entes territoriales a ser asesorados durante un periodo de gobierno en los departamentos y municipios.</t>
  </si>
  <si>
    <t>El indicador mide el cumplimiento de las metas establecidas, por parte de la Corporación Autónoma Regional, en relación con la asesoría a los entes territoriales en la incorporación, planificación y ejecución de acciones de cambio climático en sus instrumentos de planificación territorial.</t>
  </si>
  <si>
    <t>Cumplimiento y Seguimiento a las metas del Plan Nacional de Desarrollo 2014-2018 (Entidades territoriales que incorporan en los instrumentos de planificación acciones de cambio climático)</t>
  </si>
  <si>
    <t>Convención Marco de Cambio Climático CMCC</t>
  </si>
  <si>
    <t>Objetivos de Desarrollo Sostenible, Objetivo 13: adoptar medidas urgentes para combatir el cambio climático y sus efectos.</t>
  </si>
  <si>
    <t>Ley 99 de 1993, Artículo 31, numerales 4 y 5.</t>
  </si>
  <si>
    <t>Ley 1753 de 2015, Plan Nacional de Desarrollo (Crecimiento Verde), Artículo 170 y ss.</t>
  </si>
  <si>
    <t>Documentos de referencia:</t>
  </si>
  <si>
    <t>Plan Nacional de Desarrollo</t>
  </si>
  <si>
    <t>Acuerdo COP 21 y Guía para la incorporación de cambio climático en el ciclo del ordenamiento territorial.</t>
  </si>
  <si>
    <t>Mayor información: http://cambioclimatico.minambiente.gov.co/</t>
  </si>
  <si>
    <t>El Plan Nacional de Desarrollo 2014-2018 (crecimiento verde) establece que las entidades territoriales incorporen, en sus instrumentos formales de planificación del desarrollo y de ordenamiento territorial, acciones de adaptación y/o mitigación al cambio climático; mediante la reducción de vulnerabilidad, el incremento de la capacidad adaptativa y la reducción de la exposición y sensibilidad; así como la reducción de emisiones de Gases de Efecto Invernadero. Cabe indicar que los instrumentos formales de planificación del desarrollo y de ordenamiento territorial abarcan los Planes de Desarrollo departamentales y municipales y Planes de Ordenamiento Territorial.</t>
  </si>
  <si>
    <t>En éste mismo sentido la Ley 99 de 1993 en su Artículo 31, numerales 4 y 5, contempla que “asesorar a los Departamentos, Distritos y Municipios de su comprensión territorial en la definición de los planes de desarrollo ambiental y en sus programas y proyectos en materia de protección del medio ambiente” y “Participar con los demás organismos y entes competentes en el ámbito de su jurisdicción, en los procesos de planificación y ordenamiento territorial a fin de que el factor ambiental sea tenido en cuenta en las decisiones que se adopten”</t>
  </si>
  <si>
    <t>Las autoridades ambientales juegan un papel central como asesores técnicos de la incorporación del cambio climático en sus instrumentos de planificación de los entes territoriales, tanto a nivel departamental como municipal.</t>
  </si>
  <si>
    <t>Por asesoría se entienden las siguientes acciones:</t>
  </si>
  <si>
    <r>
      <t>·</t>
    </r>
    <r>
      <rPr>
        <sz val="7"/>
        <color rgb="FF000000"/>
        <rFont val="Times New Roman"/>
        <family val="1"/>
      </rPr>
      <t xml:space="preserve">        </t>
    </r>
    <r>
      <rPr>
        <sz val="9"/>
        <color rgb="FF000000"/>
        <rFont val="Calibri"/>
        <family val="2"/>
      </rPr>
      <t>Elaborar informes de análisis de la incorporación de cambio climático en el proceso de formulación de los Planes de Desarrollo departamentales y municipales y en los Planes de Ordenamiento Territorial.</t>
    </r>
  </si>
  <si>
    <r>
      <t>·</t>
    </r>
    <r>
      <rPr>
        <sz val="7"/>
        <color rgb="FF000000"/>
        <rFont val="Times New Roman"/>
        <family val="1"/>
      </rPr>
      <t xml:space="preserve">        </t>
    </r>
    <r>
      <rPr>
        <sz val="9"/>
        <color rgb="FF000000"/>
        <rFont val="Calibri"/>
        <family val="2"/>
      </rPr>
      <t>Entregar a los territorios documentos con recomendaciones y orientaciones específicas para la incorporación, planificación y ejecución de acciones de cambio climático en los instrumentos de planificación del desarrollo y de ordenamiento territorial</t>
    </r>
  </si>
  <si>
    <r>
      <t>·</t>
    </r>
    <r>
      <rPr>
        <sz val="7"/>
        <color rgb="FF000000"/>
        <rFont val="Times New Roman"/>
        <family val="1"/>
      </rPr>
      <t xml:space="preserve">        </t>
    </r>
    <r>
      <rPr>
        <sz val="9"/>
        <color rgb="FF000000"/>
        <rFont val="Calibri"/>
        <family val="2"/>
      </rPr>
      <t>Elaborar estudios para medir el riesgo climático en la jurisdicción y realizar la socialización con los entes territoriales.</t>
    </r>
  </si>
  <si>
    <r>
      <t>·</t>
    </r>
    <r>
      <rPr>
        <sz val="7"/>
        <color rgb="FF000000"/>
        <rFont val="Times New Roman"/>
        <family val="1"/>
      </rPr>
      <t xml:space="preserve">        </t>
    </r>
    <r>
      <rPr>
        <sz val="9"/>
        <color rgb="FF000000"/>
        <rFont val="Calibri"/>
        <family val="2"/>
      </rPr>
      <t>Elaboración y difusión de estudios sobre las oportunidades del cambio climático a nivel regional.</t>
    </r>
  </si>
  <si>
    <r>
      <t>·</t>
    </r>
    <r>
      <rPr>
        <sz val="7"/>
        <color rgb="FF000000"/>
        <rFont val="Times New Roman"/>
        <family val="1"/>
      </rPr>
      <t xml:space="preserve">        </t>
    </r>
    <r>
      <rPr>
        <sz val="9"/>
        <color rgb="FF000000"/>
        <rFont val="Calibri"/>
        <family val="2"/>
      </rPr>
      <t>Fortalecer los sistemas de información que permitan generar conocimiento del cambio climático y sus efectos a nivel regional y local.</t>
    </r>
  </si>
  <si>
    <r>
      <t>·</t>
    </r>
    <r>
      <rPr>
        <sz val="7"/>
        <color rgb="FF000000"/>
        <rFont val="Times New Roman"/>
        <family val="1"/>
      </rPr>
      <t xml:space="preserve">        </t>
    </r>
    <r>
      <rPr>
        <sz val="9"/>
        <color rgb="FF000000"/>
        <rFont val="Calibri"/>
        <family val="2"/>
      </rPr>
      <t>Realizar eventos de capacitación para la incorporación de cambio climático en los Planes de Desarrollo departamentales y municipales y en los Planes de Ordenamiento Territorial.</t>
    </r>
  </si>
  <si>
    <r>
      <t xml:space="preserve">PETACC </t>
    </r>
    <r>
      <rPr>
        <vertAlign val="subscript"/>
        <sz val="9"/>
        <color rgb="FF000000"/>
        <rFont val="Calibri"/>
        <family val="2"/>
        <scheme val="minor"/>
      </rPr>
      <t>t</t>
    </r>
    <r>
      <rPr>
        <sz val="9"/>
        <color rgb="FF000000"/>
        <rFont val="Calibri"/>
        <family val="2"/>
        <scheme val="minor"/>
      </rPr>
      <t xml:space="preserve"> = Porcentaje de entes territoriales asesorados en la incorporación, planificación y ejecución de cambio climático en los instrumentos de planificación territorial, en el tiempo t.</t>
    </r>
  </si>
  <si>
    <r>
      <t xml:space="preserve">ETACC </t>
    </r>
    <r>
      <rPr>
        <vertAlign val="subscript"/>
        <sz val="9"/>
        <color rgb="FF000000"/>
        <rFont val="Calibri"/>
        <family val="2"/>
        <scheme val="minor"/>
      </rPr>
      <t>t</t>
    </r>
    <r>
      <rPr>
        <sz val="9"/>
        <color rgb="FF000000"/>
        <rFont val="Calibri"/>
        <family val="2"/>
        <scheme val="minor"/>
      </rPr>
      <t xml:space="preserve"> = Número de entes territoriales efectivamente asesorados en la incorporación, planificación y ejecución de cambio climático en los instrumentos de planificación territorial, en el tiempo t.</t>
    </r>
  </si>
  <si>
    <r>
      <t xml:space="preserve">METACC </t>
    </r>
    <r>
      <rPr>
        <vertAlign val="subscript"/>
        <sz val="9"/>
        <color rgb="FF000000"/>
        <rFont val="Calibri"/>
        <family val="2"/>
        <scheme val="minor"/>
      </rPr>
      <t>t</t>
    </r>
    <r>
      <rPr>
        <sz val="9"/>
        <color rgb="FF000000"/>
        <rFont val="Calibri"/>
        <family val="2"/>
        <scheme val="minor"/>
      </rPr>
      <t xml:space="preserve"> = Meta de entes territoriales a ser asesorados en la incorporación, planificación y ejecución de cambio climático en los instrumentos de planificación territorial, en el tiempo t.</t>
    </r>
  </si>
  <si>
    <t>Meta de entes territoriales a ser asesorados en la incorporación, planificación y ejecución de cambio climático en los instrumentos de planificación territorial (METACC)</t>
  </si>
  <si>
    <t>Entes territoriales efectivamente asesorados en la incorporación, planificación y ejecución de cambio climático en los instrumentos de planificación territorial (ETACC)</t>
  </si>
  <si>
    <t>Porcentaje de entes territoriales asesorados en la incorporación, planificación y ejecución de cambio climático en los instrumentos de planificación territorial (PETACC)</t>
  </si>
  <si>
    <t>Detalle de acciones de asesoría realizadas en la vigencia (utilice tantas filas cuantas sean necesarias)</t>
  </si>
  <si>
    <t>Acciones</t>
  </si>
  <si>
    <t>Nombres de entidades territoriales</t>
  </si>
  <si>
    <t>Cuanto más cercano a cien por ciento, mayor es el cumplimiento de las metas establecidas en relación con la asesoría a los entes territoriales en la incorporación de cambio climático en los instrumentos de planificación territorial.</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</si>
  <si>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entes territoriales asesorados en la incorporación de cambio climático en los instrumentos de planificación territorial (Versión 1.0).</t>
    </r>
    <r>
      <rPr>
        <sz val="9"/>
        <color rgb="FF000000"/>
        <rFont val="Calibri"/>
        <family val="2"/>
        <scheme val="minor"/>
      </rPr>
      <t xml:space="preserve"> Ministerio de Ambiente y Desarrollo Sostenible MADS, DGOAT-SINA y DCC.</t>
    </r>
  </si>
  <si>
    <t xml:space="preserve">Número de entes territoriales </t>
  </si>
  <si>
    <t>Porcentaje de suelos degradados en recuperación o rehabilitación</t>
  </si>
  <si>
    <t>Es la relación entre la superficie de suelos en restauración y en rehabilitación, con respecto a la meta de suelos en restauración y rehabilitación priorizadas por la Corporación.</t>
  </si>
  <si>
    <t>El indicador mide el cumplimiento de las metas de la Corporación en materia de restauración y rehabilitación de suelos, como contribución a la implementación regional de la Política de Gestión Sostenible del Suelo.</t>
  </si>
  <si>
    <t>Normas soporte:</t>
  </si>
  <si>
    <t>Ley 99 de 1993</t>
  </si>
  <si>
    <t>Decreto 1076 de 2015. Artículo 2.2.1.1.18.7. “En todo caso los propietarios están obligados a…… cooperar en las labores de prevención o corrección que adelante la autoridad ambiental competente”</t>
  </si>
  <si>
    <t>La estrategia transversal “Crecimiento Verde” del Plan Nacional de Desarrollo 2014-2018, “Todos por un nuevo país: Paz, Equidad y Educación”, tiene entre sus objetivos: “Proteger y asegurar el uso sostenible del capital natural y mejorar la calidad y la gobernanza ambiental”, y plantea como una de sus acciones prioritarias, aprobar e implementar la política para la gestión sostenible del suelo, “(…) a través de la cual se definirán los lineamientos para su uso sostenible relacionados con 1) promover la investigación, innovación y transferencia de tecnología para el conocimiento de los suelos, su conservación, recuperación, uso y manejo sostenible; 2) articular instrumentos normativos relacionados con la gestión del suelo y; 3) adelantar procesos de monitoreo y seguimiento a la calidad de los suelos”.</t>
  </si>
  <si>
    <t>Política de Gestión Sostenible del Suelo</t>
  </si>
  <si>
    <t>La Política de Gestión Sostenible del Suelo concibe los suelos como sistemas complejos y dinámicos, que se constituyen en componente fundamental del ambiente, y cumplen múltiples funciones vitales para la supervivencia humana y las relaciones sociales. Entre los servicios ecosistémicos asociados al suelo se destacan: producción de alimentos; filtrado e intercambio de gases; depuración de la contaminación; regulación climática e hídrica; ciclado de nutrientes; filtrado de agua; soporte para industria, infraestructura y turismo; entre otros.</t>
  </si>
  <si>
    <t>Los suelos hacen parte de la diversidad natural y biológica y están compuestos por minerales, agua, aire y organismos vivos; sus usos son esencialmente culturales, según las prácticas y las costumbres de los individuos y las comunidades, las cuales están predeterminadas por normas, reglas u orientaciones sociales, comunitarias o estatales.</t>
  </si>
  <si>
    <t>Así mismo, son indispensables y determinantes para la estructura y el funcionamiento de los ciclos del agua, del aire y de los nutrientes, así como para la biodiversidad. Esto en razón a que el suelo es parte esencial de los ciclos biogeoquímicos, en los cuales hay distribución, transporte, almacenamiento y transformación de materiales y energía necesarios para la vida en el planeta.</t>
  </si>
  <si>
    <t>A pesar de su importancia, el uso insostenible del suelo, entre otras actividades antrópicas, ocasiona su degradación, la cual resulta particularmente preocupante, por el efecto negativo en los ecosistemas, los organismos y las comunidades.</t>
  </si>
  <si>
    <t>Los procesos de degradación más relevantes en Colombia son la erosión, el sellamiento de suelos, la contaminación, la pérdida de la materia orgánica, la salinización, la compactación y la desertificación.</t>
  </si>
  <si>
    <t>Los procesos de recuperación o rehabilitación de suelos degradados deben dar cuenta de las acciones adelantadas para el mejoramiento de las condiciones del suelo (propiedades físicas, químicas y bilógicas) y las acciones para el monitoreo y seguimiento al mejoramiento de su calidad de acuerdo con las orientaciones establecidas en la Política para la Gestión Sostenible del Suelo. La Corporación partiendo de la información línea base disponible deberá identificar y priorizar las áreas con suelos degradados a intervenir, las cuales serán objeto de seguimiento al presente indicador.</t>
  </si>
  <si>
    <t>Entre la información línea base, se encuentra el mapa de degradación de suelos por erosión a escala 1:100.000 elaborado por el IDEAM y el MADS, los estudios de suelos e información del IGAC, las investigaciones desarrolladas por los Institutos de Investigación y las Universidades y la generada por las Corporaciones.</t>
  </si>
  <si>
    <t>Porcentaje de suelos degradados en recuperación o rehabilitación.</t>
  </si>
  <si>
    <r>
      <t xml:space="preserve">PSER </t>
    </r>
    <r>
      <rPr>
        <vertAlign val="subscript"/>
        <sz val="9"/>
        <color rgb="FF000000"/>
        <rFont val="Calibri"/>
        <family val="2"/>
        <scheme val="minor"/>
      </rPr>
      <t>t</t>
    </r>
    <r>
      <rPr>
        <sz val="9"/>
        <color rgb="FF000000"/>
        <rFont val="Calibri"/>
        <family val="2"/>
        <scheme val="minor"/>
      </rPr>
      <t xml:space="preserve"> = Porcentaje de suelos degradados en recuperación o rehabilitación, en el tiempo t.</t>
    </r>
  </si>
  <si>
    <r>
      <t xml:space="preserve">SER </t>
    </r>
    <r>
      <rPr>
        <vertAlign val="subscript"/>
        <sz val="9"/>
        <color rgb="FF000000"/>
        <rFont val="Calibri"/>
        <family val="2"/>
        <scheme val="minor"/>
      </rPr>
      <t>it</t>
    </r>
    <r>
      <rPr>
        <sz val="9"/>
        <color rgb="FF000000"/>
        <rFont val="Calibri"/>
        <family val="2"/>
        <scheme val="minor"/>
      </rPr>
      <t xml:space="preserve"> = Superficie de suelos degradados en recuperación o rehabilitación (ha), en el tiempo t.</t>
    </r>
  </si>
  <si>
    <r>
      <t xml:space="preserve">MSER </t>
    </r>
    <r>
      <rPr>
        <vertAlign val="subscript"/>
        <sz val="9"/>
        <color rgb="FF000000"/>
        <rFont val="Calibri"/>
        <family val="2"/>
        <scheme val="minor"/>
      </rPr>
      <t>it</t>
    </r>
    <r>
      <rPr>
        <sz val="9"/>
        <color rgb="FF000000"/>
        <rFont val="Calibri"/>
        <family val="2"/>
        <scheme val="minor"/>
      </rPr>
      <t xml:space="preserve"> = Meta de suelos degradados en recuperación o rehabilitación (ha), en el tiempo t.</t>
    </r>
  </si>
  <si>
    <t>Inversión asociada a recuperación o rehabilitación de suelos degradados (Millones de $)</t>
  </si>
  <si>
    <r>
      <t xml:space="preserve">IRSD </t>
    </r>
    <r>
      <rPr>
        <vertAlign val="subscript"/>
        <sz val="9"/>
        <color rgb="FF000000"/>
        <rFont val="Calibri"/>
        <family val="2"/>
        <scheme val="minor"/>
      </rPr>
      <t>t</t>
    </r>
    <r>
      <rPr>
        <sz val="9"/>
        <color rgb="FF000000"/>
        <rFont val="Calibri"/>
        <family val="2"/>
        <scheme val="minor"/>
      </rPr>
      <t xml:space="preserve"> = Inversión asociada a recuperación o rehabilitación de suelos degradados, en el año t.</t>
    </r>
  </si>
  <si>
    <r>
      <t xml:space="preserve">PDARSD </t>
    </r>
    <r>
      <rPr>
        <vertAlign val="subscript"/>
        <sz val="9"/>
        <color rgb="FF000000"/>
        <rFont val="Calibri"/>
        <family val="2"/>
        <scheme val="minor"/>
      </rPr>
      <t>i</t>
    </r>
    <r>
      <rPr>
        <sz val="9"/>
        <color rgb="FF000000"/>
        <rFont val="Calibri"/>
        <family val="2"/>
        <scheme val="minor"/>
      </rPr>
      <t xml:space="preserve"> = Presupuesto definitivo asociado a la ejecución de la acción o proyecto i relacionado con la recuperación o rehabilitación de suelos degradados, en el año t.</t>
    </r>
  </si>
  <si>
    <t>Para su cálculo, se reporta la siguiente información:</t>
  </si>
  <si>
    <t>Meta de suelos degradados en recuperación o rehabilitación (ha)</t>
  </si>
  <si>
    <t>Áreas de suelos degradados en recuperación o rehabilitación (ha)</t>
  </si>
  <si>
    <t>Porcentaje de suelos degradados en recuperación o rehabilitación (C = B / A)</t>
  </si>
  <si>
    <t>(*) Adicione tantas filas cuantas sean necesarias.</t>
  </si>
  <si>
    <t xml:space="preserve">Tipo de acción </t>
  </si>
  <si>
    <t>Área de intervención (ha)</t>
  </si>
  <si>
    <t>Ppto. inicial</t>
  </si>
  <si>
    <t>Presupuesto Definitivo</t>
  </si>
  <si>
    <r>
      <t>Cuanto más cercano a cien por ciento, mayor es el cumplimiento de las metas establecidas por la Corporación en materia de recuperación o rehabilitación</t>
    </r>
    <r>
      <rPr>
        <b/>
        <sz val="9"/>
        <color rgb="FF000000"/>
        <rFont val="Calibri"/>
        <family val="2"/>
        <scheme val="minor"/>
      </rPr>
      <t xml:space="preserve"> </t>
    </r>
    <r>
      <rPr>
        <sz val="9"/>
        <color rgb="FF000000"/>
        <rFont val="Calibri"/>
        <family val="2"/>
        <scheme val="minor"/>
      </rPr>
      <t>de suelos degradados.</t>
    </r>
  </si>
  <si>
    <t>Se pueden presentar situaciones de orden operativo, financiero, político y social que pueden afectar los presupuestos y los cronogramas definidos en el Plan de Acción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</si>
  <si>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suelos degradados en recuperación o rehabilitación. (Versión 1.0).</t>
    </r>
    <r>
      <rPr>
        <sz val="9"/>
        <color rgb="FF000000"/>
        <rFont val="Calibri"/>
        <family val="2"/>
        <scheme val="minor"/>
      </rPr>
      <t xml:space="preserve"> Ministerio de Ambiente y Desarrollo Sostenible MADS, DGOAT-SINA y DAASU.</t>
    </r>
  </si>
  <si>
    <t>Porcentaje de la superficie de áreas protegidas regionales declaradas, homologadas o recategorizadas, inscritas en el RUNAP</t>
  </si>
  <si>
    <t>Mide la superficie en hectáreas de las áreas protegidas regionales, declaradas homologadas o recategorizadas inscritas en el RUNAP, con respecto a la meta de áreas protegidas regionales definida en el Plan de Acción de la Corporación. Comprende las áreas protegidas tanto continentales como marinas, costeras e insulares.</t>
  </si>
  <si>
    <t>El indicador busca hacer seguimiento a la contribución de las CAR a la Política Nacional de Gestión Integral de la Biodiversidad y sus Servicios Ecosistémicos y específicamente a la estrategia de declaración de áreas protegidas.</t>
  </si>
  <si>
    <t>Contribución a la Meta del plan de desarrollo (Hectáreas de Áreas Protegidas declaradas en el SINAP)</t>
  </si>
  <si>
    <t>Resolución 1125 de 2015.</t>
  </si>
  <si>
    <t>Política Nacional de Gestión Integral de la Biodiversidad y sus Servicios Ecosistémicos.</t>
  </si>
  <si>
    <t>Ruta declaratoria de áreas protegidas del Sistema Nacional de Áreas Protegidas (SINAP).</t>
  </si>
  <si>
    <t>Plan Nacional de Desarrollo 2014-2018.</t>
  </si>
  <si>
    <t>El Convenio sobre Diversidad Biológica, aprobado por la Ley 165 de 1994, señala que los objetivos de conservación de la biodiversidad que se persiguen son: la conservación de la diversidad, la utilización sostenible de sus componentes y la participación justa y equitativa en los beneficios que se deriven del uso de recursos genéticos.</t>
  </si>
  <si>
    <t>La Decisión VII.28 de la Séptima Conferencia de las Partes -COP 7- del Convenio sobre Diversidad Biológica, aprobó el Programa Temático de Áreas Protegidas que confirma que es indispensable hacer esfuerzos para establecer y mantener sistemas de áreas protegidas, aplicando el enfoque ecosistémico con el objetivo de establecer y mantener sistemas completos, eficazmente manejados y ecológicamente representativos de áreas protegidas.</t>
  </si>
  <si>
    <r>
      <t xml:space="preserve">La Meta 11 de Aichi planteada en el marco del plan estratégico de biodiversidad definido en Nagoya establece que para </t>
    </r>
    <r>
      <rPr>
        <b/>
        <sz val="9"/>
        <color rgb="FF000000"/>
        <rFont val="Calibri"/>
        <family val="2"/>
        <scheme val="minor"/>
      </rPr>
      <t xml:space="preserve">2020, </t>
    </r>
    <r>
      <rPr>
        <sz val="9"/>
        <color rgb="FF000000"/>
        <rFont val="Calibri"/>
        <family val="2"/>
        <scheme val="minor"/>
      </rPr>
      <t xml:space="preserve">al menos el </t>
    </r>
    <r>
      <rPr>
        <b/>
        <sz val="9"/>
        <color rgb="FF000000"/>
        <rFont val="Calibri"/>
        <family val="2"/>
        <scheme val="minor"/>
      </rPr>
      <t xml:space="preserve">17 por ciento de las zonas terrestres </t>
    </r>
    <r>
      <rPr>
        <sz val="9"/>
        <color rgb="FF000000"/>
        <rFont val="Calibri"/>
        <family val="2"/>
        <scheme val="minor"/>
      </rPr>
      <t xml:space="preserve">y de aguas continentales y el </t>
    </r>
    <r>
      <rPr>
        <b/>
        <sz val="9"/>
        <color rgb="FF000000"/>
        <rFont val="Calibri"/>
        <family val="2"/>
        <scheme val="minor"/>
      </rPr>
      <t xml:space="preserve">10 por ciento de las zonas marinas y costeras, </t>
    </r>
    <r>
      <rPr>
        <sz val="9"/>
        <color rgb="FF000000"/>
        <rFont val="Calibri"/>
        <family val="2"/>
        <scheme val="minor"/>
      </rPr>
      <t xml:space="preserve">especialmente aquellas de particular importancia para la diversidad biológica y los servicios de los ecosistemas, </t>
    </r>
    <r>
      <rPr>
        <b/>
        <sz val="9"/>
        <color rgb="FF000000"/>
        <rFont val="Calibri"/>
        <family val="2"/>
        <scheme val="minor"/>
      </rPr>
      <t xml:space="preserve">se conservan por medio de sistemas de áreas protegidas administrados de manera eficaz y equitativa, ecológicamente representativos y bien conectados </t>
    </r>
    <r>
      <rPr>
        <sz val="9"/>
        <color rgb="FF000000"/>
        <rFont val="Calibri"/>
        <family val="2"/>
        <scheme val="minor"/>
      </rPr>
      <t>y otras medidas de conservación eficaces basadas en áreas, y están integradas en los paisajes terrestres y marinos más amplios.</t>
    </r>
  </si>
  <si>
    <t>En tal sentido, el Decreto 1076 de 2015 define un área protegida como una superficie definida geográficamente que haya sido designada, regulada y administrada a fin de alcanzar objetivos específicos de conservación.</t>
  </si>
  <si>
    <t>De acuerdo con el Decreto 1076 de 2015, las categorías de áreas protegidas son: Sistema de Parques Nacionales Naturales, Reserva Forestal Protectora Nacional, Distrito de Manejo Integrado Nacional, Reserva Forestal Protectora Regional, Distrito de Manejo Integrado Regional, Distrito de Conservación de Suelos, Área de Recreación y Reserva Natural de la Sociedad Civil.</t>
  </si>
  <si>
    <r>
      <t xml:space="preserve">PAPR </t>
    </r>
    <r>
      <rPr>
        <vertAlign val="subscript"/>
        <sz val="9"/>
        <color rgb="FF000000"/>
        <rFont val="Calibri"/>
        <family val="2"/>
        <scheme val="minor"/>
      </rPr>
      <t>t</t>
    </r>
    <r>
      <rPr>
        <sz val="9"/>
        <color rgb="FF000000"/>
        <rFont val="Calibri"/>
        <family val="2"/>
        <scheme val="minor"/>
      </rPr>
      <t xml:space="preserve"> = Porcentaje de áreas protegidas regionales declaradas, homologadas o recategorizadas, inscritas en el RUNAP, en el tiempo t.</t>
    </r>
  </si>
  <si>
    <r>
      <t xml:space="preserve">SAPR </t>
    </r>
    <r>
      <rPr>
        <vertAlign val="subscript"/>
        <sz val="9"/>
        <color rgb="FF000000"/>
        <rFont val="Calibri"/>
        <family val="2"/>
        <scheme val="minor"/>
      </rPr>
      <t>it</t>
    </r>
    <r>
      <rPr>
        <sz val="9"/>
        <color rgb="FF000000"/>
        <rFont val="Calibri"/>
        <family val="2"/>
        <scheme val="minor"/>
      </rPr>
      <t xml:space="preserve"> = Superficie de áreas protegidas regionales declaradas, homologadas o recategorizadas, inscritas en el RUNAP (ha), en el tiempo t.</t>
    </r>
  </si>
  <si>
    <r>
      <t xml:space="preserve">MAPR </t>
    </r>
    <r>
      <rPr>
        <vertAlign val="subscript"/>
        <sz val="9"/>
        <color rgb="FF000000"/>
        <rFont val="Calibri"/>
        <family val="2"/>
        <scheme val="minor"/>
      </rPr>
      <t>it</t>
    </r>
    <r>
      <rPr>
        <sz val="9"/>
        <color rgb="FF000000"/>
        <rFont val="Calibri"/>
        <family val="2"/>
        <scheme val="minor"/>
      </rPr>
      <t xml:space="preserve"> = Meta de áreas protegidas regionales declaradas, homologadas o recategorizadas, inscritas en el RUNAP (ha), en el tiempo t.</t>
    </r>
  </si>
  <si>
    <t>Continentales</t>
  </si>
  <si>
    <t>Meta de áreas protegidas regionales a ser homologadas o recategorizadas, e inscritas en el RUNAP en el cuatrienio (ha)</t>
  </si>
  <si>
    <t>(*) si aplica. Para evitar doble contabilidad, se clasifican en el grupo de áreas marinas, costeras e insulares, aquellas áreas protegidas con superficie tanto en áreas marinas y continentales.</t>
  </si>
  <si>
    <t>AREAS PROTEGIDAS CONTINENTALES</t>
  </si>
  <si>
    <t>Número de áreas protegidas en proceso de declaratoria (*)</t>
  </si>
  <si>
    <t>Meta de áreas inscritas en el RUNAP</t>
  </si>
  <si>
    <t>Sin iniciar</t>
  </si>
  <si>
    <t>FASE I: Preparación</t>
  </si>
  <si>
    <t>FASE II: Aprestamiento</t>
  </si>
  <si>
    <t>FASE III: Declaratoria o Ampliación</t>
  </si>
  <si>
    <t>(*) Ubique cada área protegida sólo en la última etapa que se encuentre</t>
  </si>
  <si>
    <t>La suma de las áreas protegidas debe ser igual a la meta de número de áreas protegidas en el cuatrienio</t>
  </si>
  <si>
    <t>Superficie de áreas protegidas en proceso de declaratoria (*)</t>
  </si>
  <si>
    <t>(*) Ubique la superficie de cada área protegida sólo en la última etapa que se encuentre</t>
  </si>
  <si>
    <t>La suma de las áreas protegidas debe ser igual a la meta de superficie de áreas protegidas en el cuatrienio.</t>
  </si>
  <si>
    <t>AREAS PROTEGIDAS MARINAS, COSTERAS E INSULARES</t>
  </si>
  <si>
    <t>Relación de áreas protegidas en proceso de declaración</t>
  </si>
  <si>
    <t>Nombre de área protegida</t>
  </si>
  <si>
    <t>Tipo (continental, marina, costera, insular)</t>
  </si>
  <si>
    <t>Categoría</t>
  </si>
  <si>
    <t>Superficie en acto administrativo (ha) (*)</t>
  </si>
  <si>
    <t>Superficie en shape (ha)(a)</t>
  </si>
  <si>
    <t>Estado de avance (b)</t>
  </si>
  <si>
    <t>Acto administrativo</t>
  </si>
  <si>
    <t>de declaratoria</t>
  </si>
  <si>
    <t>(a) superficie estimada</t>
  </si>
  <si>
    <t>(b) en preparación, en aprestamiento, en declaración y declarado. Si está declarado, escriba el número del acto administrativo correspondiente.</t>
  </si>
  <si>
    <t>Cuanto más cercano a cien por ciento, mayor es el cumplimiento de las metas establecidas por la Corporación en materia de declaración de nuevas áreas protegidas.</t>
  </si>
  <si>
    <t>Se pueden llegar a presentar superposiciones en áreas protegidas declaradas u homologadas, es decir, que sobre una misma área se hayan declarado una figura regional o una nacional, con distintas definiciones y regímenes de manejo. Para efectos del presente indicador sólo se cuantificará una vez el área, eliminando en el reporte de área las superposiciones, es decir, que se deberá contar solo una vez las áreas traslapadas.</t>
  </si>
  <si>
    <r>
      <t>Lo anterior teniendo en cuenta que el artículo 2.2.2.1.3.5 del Decreto 1076 de 2015 (artículo 26 del Decreto 2372 de 2010) contempla que “</t>
    </r>
    <r>
      <rPr>
        <i/>
        <sz val="9"/>
        <color rgb="FF000000"/>
        <rFont val="Calibri"/>
        <family val="2"/>
        <scheme val="minor"/>
      </rPr>
      <t>No podrán superponerse categorías de manejo de áreas públicas</t>
    </r>
    <r>
      <rPr>
        <sz val="9"/>
        <color rgb="FF000000"/>
        <rFont val="Calibri"/>
        <family val="2"/>
        <scheme val="minor"/>
      </rPr>
      <t xml:space="preserve">”. Por tal razón, recomendamos a las Autoridades Ambientales revisar la información oficial que se encuentra en el RUNAP y cotejarla con sus procesos de declaratoria para evitar traslapes que pueden llegar a limitar el registro de las áreas protegidas en el RUNAP. </t>
    </r>
  </si>
  <si>
    <r>
      <t>Hoja Metodológica de referencia:</t>
    </r>
    <r>
      <rPr>
        <sz val="9"/>
        <color rgb="FF000000"/>
        <rFont val="Calibri"/>
        <family val="2"/>
        <scheme val="minor"/>
      </rPr>
      <t xml:space="preserve"> MADS (2016). </t>
    </r>
    <r>
      <rPr>
        <i/>
        <sz val="9"/>
        <color rgb="FF000000"/>
        <rFont val="Calibri"/>
        <family val="2"/>
        <scheme val="minor"/>
      </rPr>
      <t>Hoja metodológica Porcentaje de la Superficie de áreas protegidas regionales declaradas, homologadas o recategorizadas, inscritas en el RUNAP (Versión 1.0).</t>
    </r>
    <r>
      <rPr>
        <sz val="9"/>
        <color rgb="FF000000"/>
        <rFont val="Calibri"/>
        <family val="2"/>
        <scheme val="minor"/>
      </rPr>
      <t xml:space="preserve"> Ministerio de Ambiente y Desarrollo Sostenible MADS y Parques Nacionales de Colombia.</t>
    </r>
  </si>
  <si>
    <t>Se recomienda a las Autoridades Ambientales enviar adicionalmente reportes cualitativos del avance de los procesos de declaratoria regionales de manera periódica (mensualmente) a Parques Nacionales Naturales de Colombia, dado que en el marco de la Coordinación del SINAP y Administración del RUNAP debe entregar el respectivo reporte oficial al DNP y diferentes entidades.</t>
  </si>
  <si>
    <t>Porcentaje de páramos delimitados por el MADS, con zonificación y régimen de usos adoptados por la CAR</t>
  </si>
  <si>
    <t>Es el porcentaje de páramos con zonificación y régimen de usos adoptados por la CAR, en relación con los páramos delimitados por el MADS en la jurisdicción de la Corporación.</t>
  </si>
  <si>
    <t>Mide el avance en la zonificación y en la determinación del régimen de usos, de las áreas de páramo delimitadas por el MADS, que están ubicados en la jurisdicción de la Corporación. De esta manera, el indicador busca hacer seguimiento a la contribución de las CAR a la ejecución de la Política Nacional de Gestión Integral de la Biodiversidad y sus Servicios Ecosistémicos.</t>
  </si>
  <si>
    <t>Ley 1753 de 2015</t>
  </si>
  <si>
    <t>Resolución 769 de 2002</t>
  </si>
  <si>
    <t>Resolución 839 de 2003</t>
  </si>
  <si>
    <t>Resolución 1128 de 2006</t>
  </si>
  <si>
    <t>Resolución 937 de 2011</t>
  </si>
  <si>
    <t>Los ecosistemas de páramos han sido reconocidos como áreas de especial importancia ecológica que cuentan con una protección especial por parte del Estado, toda vez que resultan de vital importancia por los servicios ecosistémicos que prestan a la población colombiana, especialmente los relacionados con la estabilidad de los ciclos climáticos e hidrológicos y con la regulación de los flujos de agua en cantidad y calidad.</t>
  </si>
  <si>
    <t>Por ello, el artículo 1° de la Ley 99 de 1993, establece entre los Principios Generales Ambientales que las zonas de páramos, subpáramos, los nacimientos de agua y las zonas de recarga de acuíferos serán objeto de protección especial.</t>
  </si>
  <si>
    <t>El artículo 173 de la Ley 1753 de 2015 determina que en las áreas delimitadas como páramos no se podrán adelantar actividades agropecuarias ni de exploración o explotación de recursos naturales no renovables, ni construcción de refinerías de hidrocarburos.</t>
  </si>
  <si>
    <t>El Parágrafo 3 del mencionado artículo establece que “dentro de los tres (3) años siguientes a la delimitación, las autoridades ambientales deberán zonificar y determinar el régimen de usos del área de páramo delimitada, de acuerdo con los lineamientos que para el efecto defina el Ministerio de Ambiente y Desarrollo Sostenible”.</t>
  </si>
  <si>
    <r>
      <t xml:space="preserve">PPDZRU </t>
    </r>
    <r>
      <rPr>
        <vertAlign val="subscript"/>
        <sz val="9"/>
        <color rgb="FF000000"/>
        <rFont val="Calibri"/>
        <family val="2"/>
        <scheme val="minor"/>
      </rPr>
      <t>t</t>
    </r>
    <r>
      <rPr>
        <sz val="9"/>
        <color rgb="FF000000"/>
        <rFont val="Calibri"/>
        <family val="2"/>
        <scheme val="minor"/>
      </rPr>
      <t xml:space="preserve"> = Porcentaje de los páramos delimitados por el MADS, a los cuales la CAR les expide el Acto Administrativo de zonificación y régimen de usos, en el tiempo t.</t>
    </r>
  </si>
  <si>
    <r>
      <t xml:space="preserve">PZRU </t>
    </r>
    <r>
      <rPr>
        <vertAlign val="subscript"/>
        <sz val="9"/>
        <color rgb="FF000000"/>
        <rFont val="Calibri"/>
        <family val="2"/>
        <scheme val="minor"/>
      </rPr>
      <t>it</t>
    </r>
    <r>
      <rPr>
        <sz val="9"/>
        <color rgb="FF000000"/>
        <rFont val="Calibri"/>
        <family val="2"/>
        <scheme val="minor"/>
      </rPr>
      <t xml:space="preserve"> = Número de páramos previamente delimitados por el MADS en la jurisdicción de la CAR, a los cuales la CAR les expide el Acto Administrativo de zonificación y régimen de usos, en el tiempo t.</t>
    </r>
  </si>
  <si>
    <r>
      <t xml:space="preserve">PD </t>
    </r>
    <r>
      <rPr>
        <vertAlign val="subscript"/>
        <sz val="9"/>
        <color rgb="FF000000"/>
        <rFont val="Calibri"/>
        <family val="2"/>
        <scheme val="minor"/>
      </rPr>
      <t>it</t>
    </r>
    <r>
      <rPr>
        <sz val="9"/>
        <color rgb="FF000000"/>
        <rFont val="Calibri"/>
        <family val="2"/>
        <scheme val="minor"/>
      </rPr>
      <t xml:space="preserve"> = Número de páramos delimitados por el MADS en la jurisdicción de la CAR, en el tiempo t.</t>
    </r>
  </si>
  <si>
    <t>Reporte de avance</t>
  </si>
  <si>
    <t>Etapa</t>
  </si>
  <si>
    <t>Páramos delimitados por el MADS (número) ubicados en la jurisdicción de la Corporación</t>
  </si>
  <si>
    <t>Actos Administrativos de la CAR que adoptan la Zonificación y régimen de usos de páramos (número)</t>
  </si>
  <si>
    <t>Cuanto más cercano a cien por ciento, mayor es el cumplimiento de las metas de la autoridad ambiental en la gestión de paramos ubicados en la jurisdicción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</si>
  <si>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páramos delimitados, con zonificación y régimen de usos (Versión 1.0).</t>
    </r>
    <r>
      <rPr>
        <sz val="9"/>
        <color rgb="FF000000"/>
        <rFont val="Calibri"/>
        <family val="2"/>
        <scheme val="minor"/>
      </rPr>
      <t xml:space="preserve"> Ministerio de Ambiente y Desarrollo Sostenible MADS, DGOAT-SINA y DBBSE.</t>
    </r>
  </si>
  <si>
    <t>Observaciones.</t>
  </si>
  <si>
    <t>Porcentaje de avance en la formulación del Plan de Ordenación Forestal</t>
  </si>
  <si>
    <t>Es el porcentaje de avance en la formulación del Plan de Ordenación Forestal, con respecto a la meta de Ordenación Forestal definida en el Plan de Acción de la Corporación.</t>
  </si>
  <si>
    <t>Mide el avance del Plan de Ordenación Forestal, con respecto a la meta de Ordenación Forestal definida en el Plan de Acción de la Corporación. De esta manera, el indicador busca hacer seguimiento a la contribución de las CAR a la Política Nacional de Gestión Integral de la Biodiversidad y sus Servicios Ecosistémicos, así como a los instrumentos de política relacionados con el recurso forestal.</t>
  </si>
  <si>
    <r>
      <t>·</t>
    </r>
    <r>
      <rPr>
        <sz val="7"/>
        <color rgb="FF000000"/>
        <rFont val="Times New Roman"/>
        <family val="1"/>
      </rPr>
      <t xml:space="preserve">        </t>
    </r>
    <r>
      <rPr>
        <sz val="9"/>
        <color rgb="FF000000"/>
        <rFont val="Calibri"/>
        <family val="2"/>
      </rPr>
      <t>Ley 2ª de 1959</t>
    </r>
  </si>
  <si>
    <r>
      <t>·</t>
    </r>
    <r>
      <rPr>
        <sz val="7"/>
        <color rgb="FF000000"/>
        <rFont val="Times New Roman"/>
        <family val="1"/>
      </rPr>
      <t xml:space="preserve">        </t>
    </r>
    <r>
      <rPr>
        <sz val="9"/>
        <color rgb="FF000000"/>
        <rFont val="Calibri"/>
        <family val="2"/>
      </rPr>
      <t>Ley 99 de 1993</t>
    </r>
  </si>
  <si>
    <r>
      <t>·</t>
    </r>
    <r>
      <rPr>
        <sz val="7"/>
        <color rgb="FF000000"/>
        <rFont val="Times New Roman"/>
        <family val="1"/>
      </rPr>
      <t xml:space="preserve">        </t>
    </r>
    <r>
      <rPr>
        <sz val="9"/>
        <color rgb="FF000000"/>
        <rFont val="Calibri"/>
        <family val="2"/>
      </rPr>
      <t>Decreto-Ley 2811 de 1974.</t>
    </r>
  </si>
  <si>
    <r>
      <t>·</t>
    </r>
    <r>
      <rPr>
        <sz val="7"/>
        <color rgb="FF000000"/>
        <rFont val="Times New Roman"/>
        <family val="1"/>
      </rPr>
      <t xml:space="preserve">        </t>
    </r>
    <r>
      <rPr>
        <sz val="9"/>
        <color rgb="FF000000"/>
        <rFont val="Calibri"/>
        <family val="2"/>
      </rPr>
      <t>Decreto 1076 de 2015.</t>
    </r>
  </si>
  <si>
    <t>Los artículos 8°, 79 y 80 de la Constitución Política de Colombia, señalan que es deber del Estado proteger la diversidad e integridad del ambiente, conservar las áreas de especial importancia ecológica, fomentar la educación para el logro de estos fines, planificar el manejo y aprovechamiento de los recursos naturales para garantizar su desarrollo sostenible, su conservación, restauración o sustitución.</t>
  </si>
  <si>
    <t>El Plan de ordenación forestal es el estudio elaborado por las Corporaciones que, fundamentado en la descripción de los aspectos bióticos, abióticos, sociales y económicos, tiene por objeto asegurar que el interesado en utilizar el recurso en un área forestal productora, desarrolle su actividad en forma planificada para así garantizar el manejo adecuado y el aprovechamiento sostenible del recurso</t>
  </si>
  <si>
    <r>
      <t xml:space="preserve">PAPOF </t>
    </r>
    <r>
      <rPr>
        <vertAlign val="subscript"/>
        <sz val="9"/>
        <color rgb="FF000000"/>
        <rFont val="Calibri"/>
        <family val="2"/>
        <scheme val="minor"/>
      </rPr>
      <t>t</t>
    </r>
    <r>
      <rPr>
        <sz val="9"/>
        <color rgb="FF000000"/>
        <rFont val="Calibri"/>
        <family val="2"/>
        <scheme val="minor"/>
      </rPr>
      <t xml:space="preserve"> = Porcentaje de avance en la formulación del Plan de Ordenación Forestal, en el tiempo t.</t>
    </r>
  </si>
  <si>
    <r>
      <t xml:space="preserve">APOF </t>
    </r>
    <r>
      <rPr>
        <vertAlign val="subscript"/>
        <sz val="9"/>
        <color rgb="FF000000"/>
        <rFont val="Calibri"/>
        <family val="2"/>
        <scheme val="minor"/>
      </rPr>
      <t>it</t>
    </r>
    <r>
      <rPr>
        <sz val="9"/>
        <color rgb="FF000000"/>
        <rFont val="Calibri"/>
        <family val="2"/>
        <scheme val="minor"/>
      </rPr>
      <t xml:space="preserve"> = Superficie de avance en la formulación del Plan de Ordenación Forestal (ha), en el tiempo t.</t>
    </r>
  </si>
  <si>
    <r>
      <t xml:space="preserve">MAPOF </t>
    </r>
    <r>
      <rPr>
        <vertAlign val="subscript"/>
        <sz val="9"/>
        <color rgb="FF000000"/>
        <rFont val="Calibri"/>
        <family val="2"/>
        <scheme val="minor"/>
      </rPr>
      <t>it</t>
    </r>
    <r>
      <rPr>
        <sz val="9"/>
        <color rgb="FF000000"/>
        <rFont val="Calibri"/>
        <family val="2"/>
        <scheme val="minor"/>
      </rPr>
      <t xml:space="preserve"> = Meta de avance en la formulación del Plan de Ordenación Forestal (ha), en el tiempo t.</t>
    </r>
  </si>
  <si>
    <t>Meta de nuevas hectáreas forestales a ser ordenadas en el Plan de Ordenación Forestal en el cuatrienio (ha)</t>
  </si>
  <si>
    <t>Meta de hectáreas forestales a ser actualizadas en el Plan de Ordenación Forestal en el cuatrienio (ha) -si aplica-</t>
  </si>
  <si>
    <t>Meta: hectáreas forestales sujeto de ordenación en el cuatrienio (ha) (B+C)</t>
  </si>
  <si>
    <t>Superficie a ser ordenada en el Plan de Ordenación Forestal (*)</t>
  </si>
  <si>
    <t>Meta: hectáreas forestales sujeto de ordenación (a)</t>
  </si>
  <si>
    <t>En formulación</t>
  </si>
  <si>
    <t>En actualización</t>
  </si>
  <si>
    <t>Plan forestal adoptado</t>
  </si>
  <si>
    <t>(*) Ubique cada superficie sólo en la última etapa que se encuentre</t>
  </si>
  <si>
    <t>La suma de la superficie de las áreas en proceso de ordenación debe ser igual a la meta de hectáreas forestales a ser ordenadas.</t>
  </si>
  <si>
    <t>Relación de áreas a ser ordenadas en el Plan de Ordenación Forestal</t>
  </si>
  <si>
    <t>Nombre del área a ser ordenada</t>
  </si>
  <si>
    <t>Municipios donde se ubica</t>
  </si>
  <si>
    <t>Superficie (ha)</t>
  </si>
  <si>
    <t>Estado de avance (a)</t>
  </si>
  <si>
    <t>Acto administrativo de adopción</t>
  </si>
  <si>
    <t>(a) en formulación, en actualización, en adopción, adoptado. Si está adoptado, escriba el número del acto administrativo correspondiente.</t>
  </si>
  <si>
    <t>Cuanto más cercano a cien por ciento, mayor es el cumplimiento de las metas establecidas por la Corporación en materia de ordenación de las áreas forestales.</t>
  </si>
  <si>
    <r>
      <t>Hoja Metodológica de referencia:</t>
    </r>
    <r>
      <rPr>
        <sz val="9"/>
        <color rgb="FF000000"/>
        <rFont val="Calibri"/>
        <family val="2"/>
        <scheme val="minor"/>
      </rPr>
      <t xml:space="preserve"> MADS (2016). </t>
    </r>
    <r>
      <rPr>
        <i/>
        <sz val="9"/>
        <color rgb="FF000000"/>
        <rFont val="Calibri"/>
        <family val="2"/>
        <scheme val="minor"/>
      </rPr>
      <t>Hoja metodológica Porcentaje de avance en la formulación del Plan de Ordenación Forestal (Versión 1.0).</t>
    </r>
    <r>
      <rPr>
        <sz val="9"/>
        <color rgb="FF000000"/>
        <rFont val="Calibri"/>
        <family val="2"/>
        <scheme val="minor"/>
      </rPr>
      <t xml:space="preserve"> Ministerio de Ambiente y Desarrollo Sostenible MADS, DGOAT-SINA y DBBSE.</t>
    </r>
  </si>
  <si>
    <t>Porcentaje de áreas protegidas con planes de manejo en ejecución</t>
  </si>
  <si>
    <t xml:space="preserve">Descripción del Indicador </t>
  </si>
  <si>
    <t>Es la relación entre el número de áreas protegidas con planes de manejo en ejecución y el número de áreas protegidas regionales en jurisdicción de la Corporación registradas en el RUNAP, cuya administración es responsabilidad de la autoridad ambiental. Comprende áreas protegidas tanto continentales como marinas, costeras e insulares.</t>
  </si>
  <si>
    <t>El indicador mide que la autoridad ambiental realice acciones dirigidas a la implementación de los planes de manejo de las áreas protegidas, cuya administración es responsabilidad de la autoridad ambiental. De esta manera, la Corporación contribuye a la ejecución a nivel regional de la Política Nacional de Gestión de la Biodiversidad y sus Servicios Ecosistémicos.</t>
  </si>
  <si>
    <t>Política Nacional de Gestión Integral de la Biodiversidad y sus Servicios Ecosistémicos</t>
  </si>
  <si>
    <t>El mencionado Decreto, establece las categorías de áreas protegidas nacionales y regionales.</t>
  </si>
  <si>
    <t>Adicionalmente, el Decreto ibídem, establece que cada una de las áreas protegidas que integran el SINAP contarán con un plan de manejo que será el principal instrumento de planificación que orienta su gestión de conservación para un periodo de cinco (5) años de manera que se evidencien resultados frente al logro de los objetivos de conservación que motivaron su designación y su contribución al desarrollo del SINAP. Este plan deberá formularse dentro del año siguiente a la declaratoria o en el caso de las áreas existentes que se integren al SINAP dentro del año siguiente al registro.</t>
  </si>
  <si>
    <t>Indicador Porcentaje de áreas protegidas con planes de manejo en ejecución</t>
  </si>
  <si>
    <r>
      <t xml:space="preserve">PAPME </t>
    </r>
    <r>
      <rPr>
        <vertAlign val="subscript"/>
        <sz val="9"/>
        <color rgb="FF000000"/>
        <rFont val="Calibri"/>
        <family val="2"/>
        <scheme val="minor"/>
      </rPr>
      <t>t</t>
    </r>
    <r>
      <rPr>
        <sz val="9"/>
        <color rgb="FF000000"/>
        <rFont val="Calibri"/>
        <family val="2"/>
        <scheme val="minor"/>
      </rPr>
      <t xml:space="preserve"> = Porcentaje de áreas protegidas con planes de manejo en ejecución, en el tiempo t.</t>
    </r>
  </si>
  <si>
    <r>
      <t xml:space="preserve">APME </t>
    </r>
    <r>
      <rPr>
        <vertAlign val="subscript"/>
        <sz val="9"/>
        <color rgb="FF000000"/>
        <rFont val="Calibri"/>
        <family val="2"/>
        <scheme val="minor"/>
      </rPr>
      <t>it</t>
    </r>
    <r>
      <rPr>
        <sz val="9"/>
        <color rgb="FF000000"/>
        <rFont val="Calibri"/>
        <family val="2"/>
        <scheme val="minor"/>
      </rPr>
      <t xml:space="preserve"> = Número de áreas protegidas </t>
    </r>
    <r>
      <rPr>
        <i/>
        <sz val="9"/>
        <color rgb="FF000000"/>
        <rFont val="Calibri"/>
        <family val="2"/>
        <scheme val="minor"/>
      </rPr>
      <t>i</t>
    </r>
    <r>
      <rPr>
        <sz val="9"/>
        <color rgb="FF000000"/>
        <rFont val="Calibri"/>
        <family val="2"/>
        <scheme val="minor"/>
      </rPr>
      <t xml:space="preserve"> con planes de manejo en ejecución, en el tiempo t.</t>
    </r>
  </si>
  <si>
    <r>
      <t xml:space="preserve">APCAR </t>
    </r>
    <r>
      <rPr>
        <vertAlign val="subscript"/>
        <sz val="9"/>
        <color rgb="FF000000"/>
        <rFont val="Calibri"/>
        <family val="2"/>
        <scheme val="minor"/>
      </rPr>
      <t>it</t>
    </r>
    <r>
      <rPr>
        <sz val="9"/>
        <color rgb="FF000000"/>
        <rFont val="Calibri"/>
        <family val="2"/>
        <scheme val="minor"/>
      </rPr>
      <t xml:space="preserve"> = Número de áreas protegidas </t>
    </r>
    <r>
      <rPr>
        <i/>
        <sz val="9"/>
        <color rgb="FF000000"/>
        <rFont val="Calibri"/>
        <family val="2"/>
        <scheme val="minor"/>
      </rPr>
      <t>i</t>
    </r>
    <r>
      <rPr>
        <sz val="9"/>
        <color rgb="FF000000"/>
        <rFont val="Calibri"/>
        <family val="2"/>
        <scheme val="minor"/>
      </rPr>
      <t xml:space="preserve"> cuya administración es responsabilidad de la Corporación Autónoma Regional, en el tiempo t.</t>
    </r>
  </si>
  <si>
    <t>Inversión asociada a la ejecución de los planes de manejo de áreas protegidas</t>
  </si>
  <si>
    <r>
      <t xml:space="preserve">IPMAP </t>
    </r>
    <r>
      <rPr>
        <vertAlign val="subscript"/>
        <sz val="9"/>
        <color rgb="FF000000"/>
        <rFont val="Calibri"/>
        <family val="2"/>
        <scheme val="minor"/>
      </rPr>
      <t>t</t>
    </r>
    <r>
      <rPr>
        <sz val="9"/>
        <color rgb="FF000000"/>
        <rFont val="Calibri"/>
        <family val="2"/>
        <scheme val="minor"/>
      </rPr>
      <t xml:space="preserve"> = Inversión asociada a la ejecución de los planes de manejo de las áreas protegidas a cargo de la Corporación Autónoma Regional, en el año t.</t>
    </r>
  </si>
  <si>
    <r>
      <t xml:space="preserve">PDAP </t>
    </r>
    <r>
      <rPr>
        <vertAlign val="subscript"/>
        <sz val="9"/>
        <color rgb="FF000000"/>
        <rFont val="Calibri"/>
        <family val="2"/>
        <scheme val="minor"/>
      </rPr>
      <t>i</t>
    </r>
    <r>
      <rPr>
        <sz val="9"/>
        <color rgb="FF000000"/>
        <rFont val="Calibri"/>
        <family val="2"/>
        <scheme val="minor"/>
      </rPr>
      <t xml:space="preserve"> = Presupuesto definitivo asociado a la ejecución del plan de manejo del área protegida i, en el año t.</t>
    </r>
  </si>
  <si>
    <t>VARIABLE</t>
  </si>
  <si>
    <t>CONTINENTALES</t>
  </si>
  <si>
    <t>MARINAS, COSTERAS E INSULARES</t>
  </si>
  <si>
    <t>TOTAL</t>
  </si>
  <si>
    <t xml:space="preserve">Número de áreas protegidas cuya administración es responsabilidad de la Corporación Autónoma Regional </t>
  </si>
  <si>
    <t>Número de áreas protegidas con plan de manejo adoptado</t>
  </si>
  <si>
    <t>Número de áreas protegidas con plan de manejo en ejecución</t>
  </si>
  <si>
    <t>Inversión asociada a la ejecución de los planes de manejo de áreas protegidas (Millones de $)</t>
  </si>
  <si>
    <t>Nombre de AP</t>
  </si>
  <si>
    <t>Categoría de AP</t>
  </si>
  <si>
    <t>Ppto.</t>
  </si>
  <si>
    <t>Inicial</t>
  </si>
  <si>
    <t>Presupuesto</t>
  </si>
  <si>
    <t>Definitivo</t>
  </si>
  <si>
    <t>Cuanto más cercano a cien por ciento, mayores son las acciones que la autoridad ambiental realiza para la ejecución de los planes de manejo de las áreas protegidas que están a cargo de la Corporación Autónoma Regional.</t>
  </si>
  <si>
    <r>
      <t>Hoja Metodológica de referencia:</t>
    </r>
    <r>
      <rPr>
        <sz val="9"/>
        <color rgb="FF000000"/>
        <rFont val="Calibri"/>
        <family val="2"/>
        <scheme val="minor"/>
      </rPr>
      <t xml:space="preserve"> MADS (2016). </t>
    </r>
    <r>
      <rPr>
        <i/>
        <sz val="9"/>
        <color rgb="FF000000"/>
        <rFont val="Calibri"/>
        <family val="2"/>
        <scheme val="minor"/>
      </rPr>
      <t>Hoja metodológica Porcentaje de áreas protegidas con planes de manejo en ejecución (Versión 1.0).</t>
    </r>
    <r>
      <rPr>
        <sz val="9"/>
        <color rgb="FF000000"/>
        <rFont val="Calibri"/>
        <family val="2"/>
        <scheme val="minor"/>
      </rPr>
      <t xml:space="preserve"> Ministerio de Ambiente y Desarrollo Sostenible y Parques Nacionales Naturales.</t>
    </r>
  </si>
  <si>
    <t>Se recomienda a las autoridades ambientales que una vez el plan de manejo ya esté aprobado y soportado bajo acto administrativo este sea cargado en la Plataforma del RUNAP. http://runap.parquesnacionales.gov.co)</t>
  </si>
  <si>
    <t>Porcentaje de especies amenazadas con medidas de conservación y manejo en ejecución</t>
  </si>
  <si>
    <t>Es la relación entre el número de especies amenazadas con medidas de conservación y manejo en ejecución y el número de especies que cuentan con medidas de manejo formuladas, tanto para fauna y flora como en el medio continental y marino.</t>
  </si>
  <si>
    <t>El indicador mide que la autoridad ambiental realice acciones dirigidas a la implementación de las medidas de conservación y manejo de especies amenazadas. De esta manera, la Corporación contribuye a la ejecución a nivel regional de la Política Nacional de Gestión de la Biodiversidad y sus Servicios Ecosistémicos, así como de las Metas Aichi.</t>
  </si>
  <si>
    <t>Decreto 1071 de 2015, compilatorio del Decreto 1124 de 2013, por el cual se adopta el Plan de Acción Nacional para la Conservación y Manejo de Tiburones, Rayas y Quimeras de Colombia – PAN Tiburones Colombia</t>
  </si>
  <si>
    <t>Resolución 2210 de 2010</t>
  </si>
  <si>
    <t>Resolución 0192 de 2014</t>
  </si>
  <si>
    <t>El Plan Estratégico para la Diversidad Biológica 2011-2020 y las Metas de Aichi se agrupan en los siguientes objetivos estratégicos:</t>
  </si>
  <si>
    <r>
      <t>A.</t>
    </r>
    <r>
      <rPr>
        <sz val="7"/>
        <color rgb="FF000000"/>
        <rFont val="Times New Roman"/>
        <family val="1"/>
      </rPr>
      <t xml:space="preserve">    </t>
    </r>
    <r>
      <rPr>
        <sz val="9"/>
        <color rgb="FF000000"/>
        <rFont val="Calibri"/>
        <family val="2"/>
      </rPr>
      <t>Abordar las causas subyacentes de la pérdida de diversidad biológica mediante la incorporación de la diversidad biológica en todos los ámbitos gubernamentales y de la sociedad.</t>
    </r>
  </si>
  <si>
    <r>
      <t>B.</t>
    </r>
    <r>
      <rPr>
        <sz val="7"/>
        <color rgb="FF000000"/>
        <rFont val="Times New Roman"/>
        <family val="1"/>
      </rPr>
      <t xml:space="preserve">    </t>
    </r>
    <r>
      <rPr>
        <sz val="9"/>
        <color rgb="FF000000"/>
        <rFont val="Calibri"/>
        <family val="2"/>
      </rPr>
      <t>Reducir las presiones directas sobre la diversidad biológica y promover la utilización sostenible.</t>
    </r>
  </si>
  <si>
    <r>
      <t>C.</t>
    </r>
    <r>
      <rPr>
        <sz val="7"/>
        <color rgb="FF000000"/>
        <rFont val="Times New Roman"/>
        <family val="1"/>
      </rPr>
      <t xml:space="preserve">    </t>
    </r>
    <r>
      <rPr>
        <sz val="9"/>
        <color rgb="FF000000"/>
        <rFont val="Calibri"/>
        <family val="2"/>
      </rPr>
      <t>Mejorar la situación de la diversidad biológica salvaguardando los ecosistemas, las especies y la diversidad genética.</t>
    </r>
  </si>
  <si>
    <r>
      <t>D.</t>
    </r>
    <r>
      <rPr>
        <sz val="7"/>
        <color rgb="FF000000"/>
        <rFont val="Times New Roman"/>
        <family val="1"/>
      </rPr>
      <t xml:space="preserve">    </t>
    </r>
    <r>
      <rPr>
        <sz val="9"/>
        <color rgb="FF000000"/>
        <rFont val="Calibri"/>
        <family val="2"/>
      </rPr>
      <t>Aumentar los beneficios de la diversidad biológica y los servicios de los ecosistemas para todos</t>
    </r>
  </si>
  <si>
    <t>La Resolución 192 de 2014 define Especie Amenazada, como aquella que ha sido declarada como tal por Tratados o Convenios Internacionales aprobados y ratificados por Colombia o haya sido declarada en alguna categoría de amenaza por el Ministerio de Ambiente y Desarrollo Sostenible.</t>
  </si>
  <si>
    <t>Especie en Peligro Crítico (CR): Aquellas que están enfrentando un riesgo de extinción extremadamente alto en estado de vida silvestre.</t>
  </si>
  <si>
    <t>Especie en Peligro (EN): Aquellas que están enfrentando un riesgo de extinción muy alto en estado de vida silvestre.</t>
  </si>
  <si>
    <t>Especie Vulnerable (VU): Aquellas que están enfrentando un riesgo de extinción alto en estado de vida silvestre.</t>
  </si>
  <si>
    <t>Adicionalmente, la Resolución 192 de 2014 establece que “el Ministerio de Ambiente y Desarrollo Sostenible en conjunto con las demás entidades del SINA, definirán las medidas de conservación y manejo de las especies amenazadas, sin perjuicio de las funciones y competencias asignadas a otras entidades públicas”</t>
  </si>
  <si>
    <t>Indicador Porcentaje de especies amenazadas con medidas de manejo en ejecución</t>
  </si>
  <si>
    <t xml:space="preserve"> x 100</t>
  </si>
  <si>
    <r>
      <t xml:space="preserve">PEAMME </t>
    </r>
    <r>
      <rPr>
        <vertAlign val="subscript"/>
        <sz val="9"/>
        <color rgb="FF000000"/>
        <rFont val="Calibri"/>
        <family val="2"/>
        <scheme val="minor"/>
      </rPr>
      <t>t</t>
    </r>
    <r>
      <rPr>
        <sz val="9"/>
        <color rgb="FF000000"/>
        <rFont val="Calibri"/>
        <family val="2"/>
        <scheme val="minor"/>
      </rPr>
      <t xml:space="preserve"> = Porcentaje de especies amenazadas con medidas de conservación y manejo en ejecución, en tiempo t.</t>
    </r>
  </si>
  <si>
    <r>
      <t xml:space="preserve">EAMME </t>
    </r>
    <r>
      <rPr>
        <vertAlign val="subscript"/>
        <sz val="9"/>
        <color rgb="FF000000"/>
        <rFont val="Calibri"/>
        <family val="2"/>
        <scheme val="minor"/>
      </rPr>
      <t>it</t>
    </r>
    <r>
      <rPr>
        <sz val="9"/>
        <color rgb="FF000000"/>
        <rFont val="Calibri"/>
        <family val="2"/>
        <scheme val="minor"/>
      </rPr>
      <t xml:space="preserve"> = Número de especies amenazadas </t>
    </r>
    <r>
      <rPr>
        <i/>
        <sz val="9"/>
        <color rgb="FF000000"/>
        <rFont val="Calibri"/>
        <family val="2"/>
        <scheme val="minor"/>
      </rPr>
      <t>i</t>
    </r>
    <r>
      <rPr>
        <sz val="9"/>
        <color rgb="FF000000"/>
        <rFont val="Calibri"/>
        <family val="2"/>
        <scheme val="minor"/>
      </rPr>
      <t xml:space="preserve"> con medidas de conservación y manejo en ejecución, en el tiempo t.</t>
    </r>
  </si>
  <si>
    <r>
      <t xml:space="preserve">EAMMF </t>
    </r>
    <r>
      <rPr>
        <vertAlign val="subscript"/>
        <sz val="9"/>
        <color rgb="FF000000"/>
        <rFont val="Calibri"/>
        <family val="2"/>
        <scheme val="minor"/>
      </rPr>
      <t>it</t>
    </r>
    <r>
      <rPr>
        <sz val="9"/>
        <color rgb="FF000000"/>
        <rFont val="Calibri"/>
        <family val="2"/>
        <scheme val="minor"/>
      </rPr>
      <t xml:space="preserve"> = Número de especies amenazadas </t>
    </r>
    <r>
      <rPr>
        <i/>
        <sz val="9"/>
        <color rgb="FF000000"/>
        <rFont val="Calibri"/>
        <family val="2"/>
        <scheme val="minor"/>
      </rPr>
      <t>i</t>
    </r>
    <r>
      <rPr>
        <sz val="9"/>
        <color rgb="FF000000"/>
        <rFont val="Calibri"/>
        <family val="2"/>
        <scheme val="minor"/>
      </rPr>
      <t xml:space="preserve"> con medidas de conservación y manejo formuladas, en el tiempo t.</t>
    </r>
  </si>
  <si>
    <t>Inversión asociada a la ejecución de las medidas de conservación y manejo de especies amenazadas</t>
  </si>
  <si>
    <r>
      <t xml:space="preserve">IMMEA </t>
    </r>
    <r>
      <rPr>
        <vertAlign val="subscript"/>
        <sz val="9"/>
        <color rgb="FF000000"/>
        <rFont val="Calibri"/>
        <family val="2"/>
        <scheme val="minor"/>
      </rPr>
      <t>t</t>
    </r>
    <r>
      <rPr>
        <sz val="9"/>
        <color rgb="FF000000"/>
        <rFont val="Calibri"/>
        <family val="2"/>
        <scheme val="minor"/>
      </rPr>
      <t xml:space="preserve"> = Inversión asociada a la ejecución de las medidas de conservación y manejo de especies amenazadas, en el año t.</t>
    </r>
  </si>
  <si>
    <r>
      <t xml:space="preserve">PDEA </t>
    </r>
    <r>
      <rPr>
        <vertAlign val="subscript"/>
        <sz val="9"/>
        <color rgb="FF000000"/>
        <rFont val="Calibri"/>
        <family val="2"/>
        <scheme val="minor"/>
      </rPr>
      <t>i</t>
    </r>
    <r>
      <rPr>
        <sz val="9"/>
        <color rgb="FF000000"/>
        <rFont val="Calibri"/>
        <family val="2"/>
        <scheme val="minor"/>
      </rPr>
      <t xml:space="preserve"> = Presupuesto definitivo asociado a la ejecución de medidas de conservación y manejo de la especie amenazada i, en el año t.</t>
    </r>
  </si>
  <si>
    <t>ESPECIES AMENAZADAS CONTINENTALES</t>
  </si>
  <si>
    <t>ESPECIES AMENAZADAS MARINAS</t>
  </si>
  <si>
    <t>FLORA</t>
  </si>
  <si>
    <t>FAUNA</t>
  </si>
  <si>
    <t>CR</t>
  </si>
  <si>
    <t>EN</t>
  </si>
  <si>
    <t>VU</t>
  </si>
  <si>
    <t>Número de especies amenazadas presentes en la jurisdicción</t>
  </si>
  <si>
    <t>Número de especies amenazadas con medidas de conservación y manejo formulado</t>
  </si>
  <si>
    <t>Número de especies amenazadas con medidas de conservación y manejo en ejecución</t>
  </si>
  <si>
    <t>(CR) Especie en peligro crítico</t>
  </si>
  <si>
    <t>(EN) Especie en peligro</t>
  </si>
  <si>
    <t>(VU) Especie vulnerable</t>
  </si>
  <si>
    <t>Inversión asociada a la ejecución de las medidas de conservación y manejo de especies amenazadas (Millones de $)</t>
  </si>
  <si>
    <t>Tipo (Continental o marina)</t>
  </si>
  <si>
    <t>Tipo (Flora o fauna)</t>
  </si>
  <si>
    <t>Nombre (común y/o científico)</t>
  </si>
  <si>
    <t>Cuanto más cercano a cien por ciento, mayores son las acciones que la autoridad ambiental realiza para la ejecución de las medidas de conservación y manejo de las especies amenazadas que cuentan con plan de manejo, dadas las prioridades regionales que se han definido en este campo.</t>
  </si>
  <si>
    <t>Ministerio de Ambiente y Desarrollo Sostenible - MADS</t>
  </si>
  <si>
    <r>
      <t>Hoja Metodológica de referencia:</t>
    </r>
    <r>
      <rPr>
        <sz val="9"/>
        <color rgb="FF000000"/>
        <rFont val="Calibri"/>
        <family val="2"/>
        <scheme val="minor"/>
      </rPr>
      <t xml:space="preserve"> MADS (2016). </t>
    </r>
    <r>
      <rPr>
        <i/>
        <sz val="9"/>
        <color rgb="FF000000"/>
        <rFont val="Calibri"/>
        <family val="2"/>
        <scheme val="minor"/>
      </rPr>
      <t>Hoja metodológica Porcentaje de especies amenazadas con medidas de manejo en ejecución (Versión 1.0).</t>
    </r>
    <r>
      <rPr>
        <sz val="9"/>
        <color rgb="FF000000"/>
        <rFont val="Calibri"/>
        <family val="2"/>
        <scheme val="minor"/>
      </rPr>
      <t xml:space="preserve"> Ministerio de Ambiente y Desarrollo Sostenible MADS, DGOAT-SINA, DBBSE y DAMCRA.</t>
    </r>
  </si>
  <si>
    <t>- La formulación de las medidas de conservación y manejo estaran a cargo del MADS y/o de las CARs.</t>
  </si>
  <si>
    <t>- Como limitación tambien se identifica la información disponible que sobre estas especies pueda tener cada CAR.</t>
  </si>
  <si>
    <t>Porcentaje de especies invasoras con medidas de prevención, control y manejo en ejecución</t>
  </si>
  <si>
    <t>Es la relación entre el número de especies invasoras con medidas de prevención, control y manejo en ejecución y el número de especies que cuentan con medidas de prevención, control y manejo formulado, tanto para fauna y flora como en el medio continental y marino.</t>
  </si>
  <si>
    <t>El indicador mide que la autoridad ambiental realice acciones dirigidas a la implementación de las medidas de prevención, control y manejo de especies invasoras. De esta manera, la Corporación contribuye a la ejecución a nivel regional de la Política Nacional de Gestión de la Biodiversidad y sus Servicios Ecosistémicos, así como al cumplimiento de las Metas Aichi.</t>
  </si>
  <si>
    <t>Resolución 848 de 2008, especies exóticas invasoras.</t>
  </si>
  <si>
    <t>Resolución 132 de 2010, pez león.</t>
  </si>
  <si>
    <t>Resolución 207 de 2010, pez león y caracol tigre.</t>
  </si>
  <si>
    <t>Resolución 654 de 2011, caracol gigante africano.</t>
  </si>
  <si>
    <t>Resolución 675 de 2013, adopta el Plan y Protocolo de manejo del pez león.</t>
  </si>
  <si>
    <t>Plan de Acción para la Prevención, Manejo y Control de las Especies Introducidas, Trasplantadas e Invasoras.</t>
  </si>
  <si>
    <t>Baptiste M.P., Castaño N., Cárdenas D., Gutiérrez F. P., Gil D.L. y Lasso C.A. (eds). 2010. Análisis de riesgo y propuesta de categorización de especies introducidas para Colombia. Instituto de Investigación de Recursos Biológicos Alexander von Humboldt. Bogotá, D. C., Colombia. 200 p.</t>
  </si>
  <si>
    <t>Las especies invasoras, son la segunda causa de pérdida de biodiversidad en el mundo, ya que afectan su funcionalidad y estructura además de traer consecuencias de alto impacto en el ámbito económico, la salud pública y la cultura (Baptiste et al., 2010).</t>
  </si>
  <si>
    <t>El Convenio sobre Diversidad Biológica, aprobado en Colombia a través de la Ley 165 de 1994, se refiere en el artículo 8° a las obligaciones de los países parte y en su literal h) establece: “impedirá que se introduzcan, controlará o erradicará las especies exóticas que amenacen a ecosistemas, hábitats o especies.</t>
  </si>
  <si>
    <t>Se entiende por especies exóticas de carácter invasor aquellas que han sido capaces de colonizar efectivamente un área en donde se ha interrumpido la barrera geográfica y se han propagado sin asistencia humana directa en hábitats naturales o seminaturales y cuyo establecimiento y expansión amenaza los ecosistemas, hábitats o especies con daños económicos o ambientales (Resolución 848 de 2008).</t>
  </si>
  <si>
    <t>El artículo 3° de la Resolución 848 de 2008 establece que las autoridades ambientales regionales deberán tomar medidas para la prevención, control y manejo de las especies introducidas exóticas, invasoras y trasplantadas presentes en el territorio nacional, que se estimen pertinentes, tales como el otorgamiento de permisos de caza de control y demás medidas de manejo que resulten aplicables conforme a las disposiciones legales vigentes.</t>
  </si>
  <si>
    <r>
      <t xml:space="preserve">PEIME </t>
    </r>
    <r>
      <rPr>
        <vertAlign val="subscript"/>
        <sz val="9"/>
        <color rgb="FF000000"/>
        <rFont val="Calibri"/>
        <family val="2"/>
        <scheme val="minor"/>
      </rPr>
      <t>t</t>
    </r>
    <r>
      <rPr>
        <sz val="9"/>
        <color rgb="FF000000"/>
        <rFont val="Calibri"/>
        <family val="2"/>
        <scheme val="minor"/>
      </rPr>
      <t xml:space="preserve"> = Porcentaje de especies invasoras con medidas de prevención, control y manejo en ejecución, en tiempo t.</t>
    </r>
  </si>
  <si>
    <r>
      <t xml:space="preserve">EIPMEE </t>
    </r>
    <r>
      <rPr>
        <vertAlign val="subscript"/>
        <sz val="9"/>
        <color rgb="FF000000"/>
        <rFont val="Calibri"/>
        <family val="2"/>
        <scheme val="minor"/>
      </rPr>
      <t>it</t>
    </r>
    <r>
      <rPr>
        <sz val="9"/>
        <color rgb="FF000000"/>
        <rFont val="Calibri"/>
        <family val="2"/>
        <scheme val="minor"/>
      </rPr>
      <t xml:space="preserve"> = Número de especies invasoras </t>
    </r>
    <r>
      <rPr>
        <i/>
        <sz val="9"/>
        <color rgb="FF000000"/>
        <rFont val="Calibri"/>
        <family val="2"/>
        <scheme val="minor"/>
      </rPr>
      <t>i</t>
    </r>
    <r>
      <rPr>
        <sz val="9"/>
        <color rgb="FF000000"/>
        <rFont val="Calibri"/>
        <family val="2"/>
        <scheme val="minor"/>
      </rPr>
      <t xml:space="preserve"> con medidas de prevención, control y manejo en ejecución, en tiempo t.</t>
    </r>
  </si>
  <si>
    <r>
      <t xml:space="preserve">EIPMEF </t>
    </r>
    <r>
      <rPr>
        <vertAlign val="subscript"/>
        <sz val="9"/>
        <color rgb="FF000000"/>
        <rFont val="Calibri"/>
        <family val="2"/>
        <scheme val="minor"/>
      </rPr>
      <t>it</t>
    </r>
    <r>
      <rPr>
        <sz val="9"/>
        <color rgb="FF000000"/>
        <rFont val="Calibri"/>
        <family val="2"/>
        <scheme val="minor"/>
      </rPr>
      <t xml:space="preserve"> = Número de especies invasoras </t>
    </r>
    <r>
      <rPr>
        <i/>
        <sz val="9"/>
        <color rgb="FF000000"/>
        <rFont val="Calibri"/>
        <family val="2"/>
        <scheme val="minor"/>
      </rPr>
      <t>i</t>
    </r>
    <r>
      <rPr>
        <sz val="9"/>
        <color rgb="FF000000"/>
        <rFont val="Calibri"/>
        <family val="2"/>
        <scheme val="minor"/>
      </rPr>
      <t xml:space="preserve"> con medidas de prevención, control y manejo formulado, en el tiempo t.</t>
    </r>
  </si>
  <si>
    <t>Inversión asociada a la ejecución de medidas de manejo de especies invasoras</t>
  </si>
  <si>
    <r>
      <t xml:space="preserve">IPMEI </t>
    </r>
    <r>
      <rPr>
        <vertAlign val="subscript"/>
        <sz val="9"/>
        <color rgb="FF000000"/>
        <rFont val="Calibri"/>
        <family val="2"/>
        <scheme val="minor"/>
      </rPr>
      <t>t</t>
    </r>
    <r>
      <rPr>
        <sz val="9"/>
        <color rgb="FF000000"/>
        <rFont val="Calibri"/>
        <family val="2"/>
        <scheme val="minor"/>
      </rPr>
      <t xml:space="preserve"> = Inversión asociada a la ejecución de las medidas de prevención, control y manejo de especies invasoras, en el año t.</t>
    </r>
  </si>
  <si>
    <r>
      <t xml:space="preserve">PDEI </t>
    </r>
    <r>
      <rPr>
        <vertAlign val="subscript"/>
        <sz val="9"/>
        <color rgb="FF000000"/>
        <rFont val="Calibri"/>
        <family val="2"/>
        <scheme val="minor"/>
      </rPr>
      <t>i</t>
    </r>
    <r>
      <rPr>
        <sz val="9"/>
        <color rgb="FF000000"/>
        <rFont val="Calibri"/>
        <family val="2"/>
        <scheme val="minor"/>
      </rPr>
      <t xml:space="preserve"> = Presupuesto definitivo asociado a la ejecución de las medidas de prevención, control y manejo de la especie invasora i, en el año t.</t>
    </r>
  </si>
  <si>
    <t>CONTINENTAL</t>
  </si>
  <si>
    <t>MARINA</t>
  </si>
  <si>
    <t>SUBTOTAL</t>
  </si>
  <si>
    <t>Número de especies invasoras en la jurisdicción</t>
  </si>
  <si>
    <t>Número de especies invasoras con medidas de prevención, control y manejo formulado</t>
  </si>
  <si>
    <t>Número de especies invasoras con medidas de prevención, control y manejo en ejecución</t>
  </si>
  <si>
    <t>Inversión asociada a la ejecución de las medidas de prevención, control y manejo de especies invasoras (Millones de $)</t>
  </si>
  <si>
    <t>Cuanto más cercano a cien por ciento, mayores son las acciones que la autoridad ambiental realiza para la ejecución de las medidas de prevención, control y manejo de las especies invasoras que cuentan con medidas de prevención, control y manejo, dadas las prioridades regionales que se han definido en este campo.</t>
  </si>
  <si>
    <t>Se pueden presentar situaciones de orden operativo, financiero, político y social que pueden afectar los presupuestos y los cronogramas definidos en el Plan de Acción de la Corporación. Así mismo, pueden existir limitaciones de información sobre las especies invasoras presentes en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</si>
  <si>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especies invasoras con medidas de manejo en ejecución (Versión 1.0).</t>
    </r>
    <r>
      <rPr>
        <sz val="9"/>
        <color rgb="FF000000"/>
        <rFont val="Calibri"/>
        <family val="2"/>
        <scheme val="minor"/>
      </rPr>
      <t xml:space="preserve"> Ministerio de Ambiente y Desarrollo Sostenible MADS, DGOAT-SINA, DBBSE y DAMCRA.</t>
    </r>
  </si>
  <si>
    <t>La formulación de las medidas de prevención, control y manejo estarán a cargo del MADS y/o las CARs.</t>
  </si>
  <si>
    <t>Porcentaje de áreas de ecosistemas en restauración, rehabilitación y reforestación</t>
  </si>
  <si>
    <t>Mide la superficie de ecosistemas en restauración, rehabilitación y reforestación, con respecto a la meta de áreas en restauración, rehabilitación y recuperación priorizadas por la Corporación.</t>
  </si>
  <si>
    <t>El indicador busca hacer seguimiento a la contribución de las CAR a la Política Nacional de Gestión Integral de la Biodiversidad y sus Servicios Ecosistémicos y específicamente las acciones relacionadas con la restauración, recuperación y rehabilitación de ecosistemas.</t>
  </si>
  <si>
    <t>Contribución a la Meta del plan de desarrollo (Hectáreas en Proceso de Restauración)</t>
  </si>
  <si>
    <t>Plan Nacional de Restauración</t>
  </si>
  <si>
    <t>El Plan Nacional de Restauración concibe la restauración, en su visión amplia, como el restablecimiento parcial o totalmente la composición, estructura y función de la biodiversidad, que hayan sido alterados o degradados.</t>
  </si>
  <si>
    <t>La restauración ecológica, por su parte, es el proceso de ayudar al restablecimiento de un ecosistema que se ha degradado, dañado o destruido. Es una actividad deliberada que inicia o acelera la recuperación de un ecosistema con respecto a su salud, integridad y sostenibilidad y busca iniciar o facilitar la reanudación de estos procesos, los cuales retornarán el ecosistema a la trayectoria deseada.</t>
  </si>
  <si>
    <t>La rehabilitación de ecosistemas enfatiza la reparación de los procesos, la productividad y los servicios de un ecosistema. Comparte con la restauración un enfoque fundamental en los ecosistemas históricos o preexistentes como modelos o referencias, pero las dos actividades difieren en sus metas y estrategias.</t>
  </si>
  <si>
    <t>La recuperación de ecosistemas incluye la estabilización del terreno, el aseguramiento de la seguridad pública, el mejoramiento estético y, por lo general, el retorno de las tierras a lo que se consideraría un propósito útil dentro del contexto regional.</t>
  </si>
  <si>
    <t>Se debe tener en cuenta que la restauración es un proceso a largo plazo por lo que sólo el establecimiento (revegetación) no significa que el ecosistema haya sido restaurado, si no que corresponde a una fase en el proceso, por lo tanto, las hectáreas establecidas se encuentran en “Proceso de restauración”.</t>
  </si>
  <si>
    <t>Se considera que el proyecto de restauración, en este caso el área, se encuentra en proceso de restauración cuando se han realizado las etapas de un proyecto de restauración.</t>
  </si>
  <si>
    <t>Las mencionadas etapas de un proyecto de restauración, identificadas en el Plan Nacional de Restauración, son: a. planeación del proyecto de restauración; b. ejecución; c. mantenimiento; d. monitoreo; y e. divulgación de modelos regionales.</t>
  </si>
  <si>
    <r>
      <t xml:space="preserve">PAERRR </t>
    </r>
    <r>
      <rPr>
        <vertAlign val="subscript"/>
        <sz val="9"/>
        <color rgb="FF000000"/>
        <rFont val="Calibri"/>
        <family val="2"/>
        <scheme val="minor"/>
      </rPr>
      <t>t</t>
    </r>
    <r>
      <rPr>
        <sz val="9"/>
        <color rgb="FF000000"/>
        <rFont val="Calibri"/>
        <family val="2"/>
        <scheme val="minor"/>
      </rPr>
      <t xml:space="preserve"> = Porcentaje de áreas de ecosistemas en restauración, rehabilitación y recuperación, en el tiempo t.</t>
    </r>
  </si>
  <si>
    <r>
      <t xml:space="preserve">AERRR </t>
    </r>
    <r>
      <rPr>
        <vertAlign val="subscript"/>
        <sz val="9"/>
        <color rgb="FF000000"/>
        <rFont val="Calibri"/>
        <family val="2"/>
        <scheme val="minor"/>
      </rPr>
      <t>it</t>
    </r>
    <r>
      <rPr>
        <sz val="9"/>
        <color rgb="FF000000"/>
        <rFont val="Calibri"/>
        <family val="2"/>
        <scheme val="minor"/>
      </rPr>
      <t xml:space="preserve"> = Superficie de áreas en restauración, rehabilitación y recuperación (ha), en el tiempo t.</t>
    </r>
  </si>
  <si>
    <r>
      <t xml:space="preserve">MAERRR </t>
    </r>
    <r>
      <rPr>
        <vertAlign val="subscript"/>
        <sz val="9"/>
        <color rgb="FF000000"/>
        <rFont val="Calibri"/>
        <family val="2"/>
        <scheme val="minor"/>
      </rPr>
      <t>it</t>
    </r>
    <r>
      <rPr>
        <sz val="9"/>
        <color rgb="FF000000"/>
        <rFont val="Calibri"/>
        <family val="2"/>
        <scheme val="minor"/>
      </rPr>
      <t xml:space="preserve"> = Meta de áreas en restauración, rehabilitación y recuperación (ha), en el tiempo t.</t>
    </r>
  </si>
  <si>
    <t>Inversión asociada a restauración, rehabilitación y recuperación de los ecosistemas naturales</t>
  </si>
  <si>
    <t>(Millones de $)</t>
  </si>
  <si>
    <r>
      <t xml:space="preserve">IRRR </t>
    </r>
    <r>
      <rPr>
        <vertAlign val="subscript"/>
        <sz val="9"/>
        <color rgb="FF000000"/>
        <rFont val="Calibri"/>
        <family val="2"/>
        <scheme val="minor"/>
      </rPr>
      <t>t</t>
    </r>
    <r>
      <rPr>
        <sz val="9"/>
        <color rgb="FF000000"/>
        <rFont val="Calibri"/>
        <family val="2"/>
        <scheme val="minor"/>
      </rPr>
      <t xml:space="preserve"> = Inversión asociada a restauración, rehabilitación y recuperación de los ecosistemas naturales, en el año t.</t>
    </r>
  </si>
  <si>
    <r>
      <t xml:space="preserve">PDIRRR </t>
    </r>
    <r>
      <rPr>
        <vertAlign val="subscript"/>
        <sz val="9"/>
        <color rgb="FF000000"/>
        <rFont val="Calibri"/>
        <family val="2"/>
        <scheme val="minor"/>
      </rPr>
      <t>i</t>
    </r>
    <r>
      <rPr>
        <sz val="9"/>
        <color rgb="FF000000"/>
        <rFont val="Calibri"/>
        <family val="2"/>
        <scheme val="minor"/>
      </rPr>
      <t xml:space="preserve"> = Presupuesto definitivo asociado a la ejecución de la acción o proyecto i relacionado con la restauración, rehabilitación y recuperación de los ecosistemas naturales, en el año t.</t>
    </r>
  </si>
  <si>
    <t>Meta de áreas de ecosistemas en restauración, rehabilitación y recuperación (ha)</t>
  </si>
  <si>
    <t>Áreas de ecosistemas en restauración ecológica</t>
  </si>
  <si>
    <t>Áreas de ecosistemas en rehabilitación</t>
  </si>
  <si>
    <t>Áreas de ecosistemas en recuperación</t>
  </si>
  <si>
    <t>Inversión asociada a restauración, rehabilitación y recuperación de los ecosistemas (Millones de $)</t>
  </si>
  <si>
    <t>Tipo de acción (restauración, rehabilitación o recuperación)</t>
  </si>
  <si>
    <t>Área en restauración, rehabilitación o recuperación (ha)</t>
  </si>
  <si>
    <t>Cuanto más cercano a cien por ciento, mayor es el cumplimiento de las metas establecidas por la Corporación en materia de restauración, rehabilitación y reforestación.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</si>
  <si>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áreas de ecosistemas en restauración, rehabilitación y reforestación (Versión 1.0).</t>
    </r>
    <r>
      <rPr>
        <sz val="9"/>
        <color rgb="FF000000"/>
        <rFont val="Calibri"/>
        <family val="2"/>
        <scheme val="minor"/>
      </rPr>
      <t xml:space="preserve"> Ministerio de Ambiente y Desarrollo Sostenible MADS, DGOAT-SINA, DBBSE y DAMCRA.</t>
    </r>
  </si>
  <si>
    <t>Implementación de acciones en manejo integrado de zonas costeras</t>
  </si>
  <si>
    <t>Es el porcentaje de avance en la ejecución, por parte de la corporación autónoma regional, de las acciones relacionadas con el manejo integrado de zonas costeras en el marco del Plan de Acción.</t>
  </si>
  <si>
    <t>El indicador mide el cumplimiento de las metas que la autoridad ambiental se ha propuesto alcanzar en relación con el manejo integrado de zonas costeras, en el marco del Plan de Acción de la Corporación. De esta manera, contribuye a la implementación regional de la Política nacional ambiental para el desarrollo sostenible de los espacios oceánicos y las zonas costeras e insulares de Colombia.</t>
  </si>
  <si>
    <t>Ley 99 de 1993, Ley Marco de Medio Ambiente.</t>
  </si>
  <si>
    <t>Ley 1450 de 2011 (artículos 207 y 208) (vigentes).</t>
  </si>
  <si>
    <t>Decreto 1076 de 2015, Decreto Único Reglamentario.</t>
  </si>
  <si>
    <t>Resolución 1602 de 1995, manglares</t>
  </si>
  <si>
    <t>Resolución 20 de 1996, manglares</t>
  </si>
  <si>
    <t>Resolución 924 de 1997, manglares</t>
  </si>
  <si>
    <t>Política nacional ambiental para el desarrollo sostenible de los espacios oceánicos y las zonas costeras e insulares de Colombia – PNAOCI 2000</t>
  </si>
  <si>
    <t>La Política Nacional Ambiental para el Desarrollo Sostenible de los Espacios Oceánicos y las Zonas Costeras e Insulares de Colombia- PNAOCI-, , señala que el manejo integrado costero es un proceso de planificación especial dirigido hacia un área compleja y dinámica, que se enfoca en la interfase mar – tierra y que considera los siguientes aspectos: algunos conceptos fijos y otros flexibles que la demarcan, una ética de conservación de los ecosistemas, metas socioeconómicas, un estilo de manejo activo participativo y de solución de problemas, y una fuerte base científica.</t>
  </si>
  <si>
    <t>La mencionada política promueve el ordenamiento territorial para asignar usos sostenibles al territorio marítimo y costero nacional, la formas mejoradas de gobierno que armonicen y articulen la planificación del desarrollo costero sectorial, la conservación y restauración de los bienes y servicios que proveen sus ecosistemas, la generación de conocimiento que permita la obtención de información estratégica para la toma de decisiones de manejo integrado de esta áreas, y los procesos de autogestión comunitaria y de aprendizaje que permitan integrar a los múltiples usuarios de la zona costera en la gestión de su manejo sostenible.</t>
  </si>
  <si>
    <t>Las principales temáticas en el Manejo Integrado de Zonas Costeras en las que tienen competencia las Corporaciones Autónomas Regionales son:</t>
  </si>
  <si>
    <r>
      <t>1)</t>
    </r>
    <r>
      <rPr>
        <sz val="7"/>
        <color rgb="FF000000"/>
        <rFont val="Times New Roman"/>
        <family val="1"/>
      </rPr>
      <t xml:space="preserve">      </t>
    </r>
    <r>
      <rPr>
        <sz val="9"/>
        <color rgb="FF000000"/>
        <rFont val="Calibri"/>
        <family val="2"/>
        <scheme val="minor"/>
      </rPr>
      <t>Planificación y ordenamiento de la Unidad Ambiental Costera UAC</t>
    </r>
  </si>
  <si>
    <r>
      <t>a)</t>
    </r>
    <r>
      <rPr>
        <sz val="7"/>
        <color rgb="FF000000"/>
        <rFont val="Times New Roman"/>
        <family val="1"/>
      </rPr>
      <t xml:space="preserve">      </t>
    </r>
    <r>
      <rPr>
        <sz val="9"/>
        <color rgb="FF000000"/>
        <rFont val="Calibri"/>
        <family val="2"/>
        <scheme val="minor"/>
      </rPr>
      <t>Participación en la Formulación del POMIUAC en el marco de la Unidad Ambiental Costera correspondiente a su jurisdicción y en el Diagnóstico y Zonificación de los Manglares.</t>
    </r>
  </si>
  <si>
    <r>
      <t>2)</t>
    </r>
    <r>
      <rPr>
        <sz val="7"/>
        <color rgb="FF000000"/>
        <rFont val="Times New Roman"/>
        <family val="1"/>
      </rPr>
      <t xml:space="preserve">      </t>
    </r>
    <r>
      <rPr>
        <sz val="9"/>
        <color rgb="FF000000"/>
        <rFont val="Calibri"/>
        <family val="2"/>
        <scheme val="minor"/>
      </rPr>
      <t>Gestión ambiental en las zonas costeras de su jurisdicción</t>
    </r>
  </si>
  <si>
    <r>
      <t>a)</t>
    </r>
    <r>
      <rPr>
        <sz val="7"/>
        <color rgb="FF000000"/>
        <rFont val="Times New Roman"/>
        <family val="1"/>
      </rPr>
      <t xml:space="preserve">      </t>
    </r>
    <r>
      <rPr>
        <sz val="9"/>
        <color rgb="FF000000"/>
        <rFont val="Calibri"/>
        <family val="2"/>
        <scheme val="minor"/>
      </rPr>
      <t>Manejo de ecosistemas marinos y costeros.</t>
    </r>
  </si>
  <si>
    <r>
      <t>3)</t>
    </r>
    <r>
      <rPr>
        <sz val="7"/>
        <color rgb="FF000000"/>
        <rFont val="Times New Roman"/>
        <family val="1"/>
      </rPr>
      <t xml:space="preserve">      </t>
    </r>
    <r>
      <rPr>
        <sz val="9"/>
        <color rgb="FF000000"/>
        <rFont val="Calibri"/>
        <family val="2"/>
        <scheme val="minor"/>
      </rPr>
      <t>Articulación junto con los entes territoriales en el manejo integrado de zonas costeras.</t>
    </r>
  </si>
  <si>
    <r>
      <t>4)</t>
    </r>
    <r>
      <rPr>
        <sz val="7"/>
        <color rgb="FF000000"/>
        <rFont val="Times New Roman"/>
        <family val="1"/>
      </rPr>
      <t xml:space="preserve">      </t>
    </r>
    <r>
      <rPr>
        <sz val="9"/>
        <color rgb="FF000000"/>
        <rFont val="Calibri"/>
        <family val="2"/>
        <scheme val="minor"/>
      </rPr>
      <t>Educación y participación en manejo integrado de zonas costeras.</t>
    </r>
  </si>
  <si>
    <r>
      <t>5)</t>
    </r>
    <r>
      <rPr>
        <sz val="7"/>
        <color rgb="FF000000"/>
        <rFont val="Times New Roman"/>
        <family val="1"/>
      </rPr>
      <t xml:space="preserve">      </t>
    </r>
    <r>
      <rPr>
        <sz val="9"/>
        <color rgb="FF000000"/>
        <rFont val="Calibri"/>
        <family val="2"/>
        <scheme val="minor"/>
      </rPr>
      <t>Gestión de Información en manejo integrado de zonas costeras</t>
    </r>
  </si>
  <si>
    <r>
      <t>a)</t>
    </r>
    <r>
      <rPr>
        <sz val="7"/>
        <color rgb="FF000000"/>
        <rFont val="Times New Roman"/>
        <family val="1"/>
      </rPr>
      <t xml:space="preserve">      </t>
    </r>
    <r>
      <rPr>
        <sz val="9"/>
        <color rgb="FF000000"/>
        <rFont val="Calibri"/>
        <family val="2"/>
        <scheme val="minor"/>
      </rPr>
      <t>Monitoreo de la calidad ambiental en las zonas marinas y costeras</t>
    </r>
  </si>
  <si>
    <r>
      <t>b)</t>
    </r>
    <r>
      <rPr>
        <sz val="7"/>
        <color rgb="FF000000"/>
        <rFont val="Times New Roman"/>
        <family val="1"/>
      </rPr>
      <t xml:space="preserve">      </t>
    </r>
    <r>
      <rPr>
        <sz val="9"/>
        <color rgb="FF000000"/>
        <rFont val="Calibri"/>
        <family val="2"/>
        <scheme val="minor"/>
      </rPr>
      <t>Fortalecimiento de los sistemas de información regional ambiental en el ámbito marino-costero</t>
    </r>
  </si>
  <si>
    <r>
      <t>c)</t>
    </r>
    <r>
      <rPr>
        <sz val="7"/>
        <color rgb="FF000000"/>
        <rFont val="Times New Roman"/>
        <family val="1"/>
      </rPr>
      <t xml:space="preserve">       </t>
    </r>
    <r>
      <rPr>
        <sz val="9"/>
        <color rgb="FF000000"/>
        <rFont val="Calibri"/>
        <family val="2"/>
        <scheme val="minor"/>
      </rPr>
      <t>Monitoreo de ecosistemas y recursos acuáticos marinos y costeros</t>
    </r>
  </si>
  <si>
    <t>Cabe señalar que las acciones a ser realizadas por las Corporaciones deben corresponder a las competencias otorgadas por la normatividad y en el marco de sus funciones misionales.</t>
  </si>
  <si>
    <t>Porcentaje de ejecución de acciones relacionadas con el manejo integrado de zonas costeras</t>
  </si>
  <si>
    <t>Es el promedio ponderado de la ejecución de acciones relacionadas con el manejo integrado de las zonas costeras.</t>
  </si>
  <si>
    <r>
      <t xml:space="preserve">ETAMIZC </t>
    </r>
    <r>
      <rPr>
        <vertAlign val="subscript"/>
        <sz val="9"/>
        <color rgb="FF000000"/>
        <rFont val="Calibri"/>
        <family val="2"/>
        <scheme val="minor"/>
      </rPr>
      <t>t</t>
    </r>
    <r>
      <rPr>
        <sz val="9"/>
        <color rgb="FF000000"/>
        <rFont val="Calibri"/>
        <family val="2"/>
        <scheme val="minor"/>
      </rPr>
      <t xml:space="preserve"> = Porcentaje de ejecución total de acciones en manejo integrado de zonas costeras, en el tiempo t.</t>
    </r>
  </si>
  <si>
    <r>
      <t xml:space="preserve">EAMIZC </t>
    </r>
    <r>
      <rPr>
        <vertAlign val="subscript"/>
        <sz val="9"/>
        <color rgb="FF000000"/>
        <rFont val="Calibri"/>
        <family val="2"/>
        <scheme val="minor"/>
      </rPr>
      <t>It</t>
    </r>
    <r>
      <rPr>
        <sz val="9"/>
        <color rgb="FF000000"/>
        <rFont val="Calibri"/>
        <family val="2"/>
        <scheme val="minor"/>
      </rPr>
      <t xml:space="preserve"> = Porcentaje de ejecución de la acción </t>
    </r>
    <r>
      <rPr>
        <i/>
        <sz val="9"/>
        <color rgb="FF000000"/>
        <rFont val="Calibri"/>
        <family val="2"/>
        <scheme val="minor"/>
      </rPr>
      <t>i</t>
    </r>
    <r>
      <rPr>
        <sz val="9"/>
        <color rgb="FF000000"/>
        <rFont val="Calibri"/>
        <family val="2"/>
        <scheme val="minor"/>
      </rPr>
      <t xml:space="preserve"> relacionada con el manejo integrado de zonas costeras, en el tiempo t.</t>
    </r>
  </si>
  <si>
    <r>
      <t xml:space="preserve"> a </t>
    </r>
    <r>
      <rPr>
        <vertAlign val="subscript"/>
        <sz val="9"/>
        <color rgb="FF000000"/>
        <rFont val="Calibri"/>
        <family val="2"/>
        <scheme val="minor"/>
      </rPr>
      <t>i</t>
    </r>
    <r>
      <rPr>
        <sz val="9"/>
        <color rgb="FF000000"/>
        <rFont val="Calibri"/>
        <family val="2"/>
        <scheme val="minor"/>
      </rPr>
      <t xml:space="preserve"> = ponderador de la acción i de manejo integrado de zonas costeras</t>
    </r>
  </si>
  <si>
    <r>
      <t xml:space="preserve">Σ a </t>
    </r>
    <r>
      <rPr>
        <vertAlign val="subscript"/>
        <sz val="9"/>
        <color rgb="FF000000"/>
        <rFont val="Calibri"/>
        <family val="2"/>
        <scheme val="minor"/>
      </rPr>
      <t>i</t>
    </r>
    <r>
      <rPr>
        <sz val="9"/>
        <color rgb="FF000000"/>
        <rFont val="Calibri"/>
        <family val="2"/>
        <scheme val="minor"/>
      </rPr>
      <t xml:space="preserve"> = 1.</t>
    </r>
  </si>
  <si>
    <r>
      <t>Nota:</t>
    </r>
    <r>
      <rPr>
        <sz val="9"/>
        <color rgb="FF000000"/>
        <rFont val="Calibri"/>
        <family val="2"/>
        <scheme val="minor"/>
      </rPr>
      <t xml:space="preserve"> los ponderadores de las acciones serán definidos por las CAR teniendo en cuenta el peso asignado para cada una de ellas.</t>
    </r>
  </si>
  <si>
    <t>Porcentaje de ejecución de acciones relacionadas con el manejo integrado de zonas costeras.</t>
  </si>
  <si>
    <t>Número de acciones relacionadas con el manejo integrado de zonas Costeras</t>
  </si>
  <si>
    <t>Ejecución física de las acciones relacionadas con el manejo integrado de zonas costeras</t>
  </si>
  <si>
    <t>Temática</t>
  </si>
  <si>
    <t>Ejecución Física (%)</t>
  </si>
  <si>
    <t>% Ejecución Física Cuatrienal</t>
  </si>
  <si>
    <t>% Ejecución Física Anual</t>
  </si>
  <si>
    <t>Ponderación (100%)</t>
  </si>
  <si>
    <t>Ejecución ponderada (%)</t>
  </si>
  <si>
    <t>Planificación y ordenamiento de UAC</t>
  </si>
  <si>
    <t>Gestión ambiental en las zonas costeras</t>
  </si>
  <si>
    <t>Articulación junto con los entes territoriales en el manejo integrado de zonas costeras</t>
  </si>
  <si>
    <t>Educación y participación en MIZC</t>
  </si>
  <si>
    <t>Gestión de Información en MIZC</t>
  </si>
  <si>
    <t>(*) Nombre de la acción, actividad o proyecto en el Plan de Acción de la Corporación.</t>
  </si>
  <si>
    <t>Cuanto más cercano a cien por ciento, mayor es el cumplimiento de las metas que la autoridad ambiental se ha propuesto alcanzar en relación con el manejo integrado de zonas costeras, en el marco del Plan de Acción de la Corporación.</t>
  </si>
  <si>
    <t>Se pueden presentar situaciones de orden operativo, financiero, político y social que pueden afectar los presupuestos y los cronogramas definidos en el Plan de Acción de la Corporación. Así mismo, pueden existir limitaciones sobre la disponibilidad de información.</t>
  </si>
  <si>
    <r>
      <t xml:space="preserve">Hoja Metodológica de referencia: MADS (2016). </t>
    </r>
    <r>
      <rPr>
        <i/>
        <sz val="9"/>
        <color rgb="FF000000"/>
        <rFont val="Calibri"/>
        <family val="2"/>
        <scheme val="minor"/>
      </rPr>
      <t>Hoja metodológica Ejecución de acciones en Manejo Integrado de Zonas Costeras (Versión 1.0).</t>
    </r>
    <r>
      <rPr>
        <sz val="9"/>
        <color rgb="FF000000"/>
        <rFont val="Calibri"/>
        <family val="2"/>
        <scheme val="minor"/>
      </rPr>
      <t xml:space="preserve"> Ministerio de Ambiente y Desarrollo Sostenible MADS, DGOAT-SINA y DAMCRA.</t>
    </r>
  </si>
  <si>
    <t>Porcentaje de Planes de Gestión Integral de Residuos Sólidos (PGIRS) con seguimiento a metas de aprovechamiento</t>
  </si>
  <si>
    <t>Es la relación entre el número de Planes de Gestión Integral de Residuos Sólidos (PGIRS) con seguimiento con respecto a la meta de seguimiento de dichos planes por parte de la autoridad ambiental, exclusivamente en lo relacionado con las metas de aprovechamiento.</t>
  </si>
  <si>
    <t>El indicador mide el cumplimiento de las metas que la autoridad ambiental se ha propuesto alcanzar en relación con el seguimiento a los Planes de Gestión Integral de Residuos Sólidos (PGIRS), exclusivamente en lo relacionado con las metas de aprovechamiento.</t>
  </si>
  <si>
    <t>Decreto 1076 de 2015, Decreto Único Reglamentario Sector Ambiente, Articulo 2.2.6.1.1.1 al 2.2.7.3.1.7.</t>
  </si>
  <si>
    <t>Decreto 1077 de 2015. Artículo 2.3.2.2.3.90. Programa de aprovechamiento.</t>
  </si>
  <si>
    <t>Resolución 754 de 2014</t>
  </si>
  <si>
    <t>Metodología para la formulación, implementación, evaluación, seguimiento, control y actualización de los Planes de Gestión Integral de Residuos Sólidos (PGIRS)</t>
  </si>
  <si>
    <t>El Decreto 1077 de 2015 define el Plan de Gestión Integral de Residuos Sólidos como el “instrumento de planeación municipal o regional que contiene un conjunto ordenado de objetivos, metas, programas, proyectos, actividades y recursos definidos por uno o más entes territoriales para el manejo de los residuos sólidos, basado en la política de gestión integral de los mismos, el cual se ejecutará durante un período determinado, basándose en un diagnóstico inicial, en su proyección hacia el futuro y en un plan financiero viable que permita garantizar el mejoramiento continuo del manejo de residuos y la prestación del servicio de aseo a nivel municipal o regional, evaluado a través de la medición de resultados. Corresponde a la entidad territorial la formulación, implementación, evaluación, seguimiento y control y actualización del PGIRS”.</t>
  </si>
  <si>
    <t>El parágrafo del artículo 2.3.2.2.3.90 del mencionado decreto determina que “a las autoridades ambientales competentes, les corresponde realizar el control y seguimiento de la ejecución del PGIRS, exclusivamente en lo relacionado con las metas de aprovechamiento y las autorizaciones ambientales que requiera el prestador del servicio de aseo, de conformidad con la normatividad ambiental vigente”.</t>
  </si>
  <si>
    <t>Por su parte, la Resolución 754 de 2014 adopta la metodología para la formulación, implementación, evaluación, seguimiento, control y actualización de los Planes de Gestión Integral de Residuos Sólidos (PGIRS).</t>
  </si>
  <si>
    <r>
      <t xml:space="preserve">PPGIRSCS </t>
    </r>
    <r>
      <rPr>
        <vertAlign val="subscript"/>
        <sz val="9"/>
        <color rgb="FF000000"/>
        <rFont val="Calibri"/>
        <family val="2"/>
        <scheme val="minor"/>
      </rPr>
      <t>t</t>
    </r>
    <r>
      <rPr>
        <sz val="9"/>
        <color rgb="FF000000"/>
        <rFont val="Calibri"/>
        <family val="2"/>
        <scheme val="minor"/>
      </rPr>
      <t xml:space="preserve"> = Porcentaje de Planes de Gestión Integral de Residuos Sólidos (PGIRS) con seguimiento, exclusivamente en lo relacionado con las metas de aprovechamiento en el tiempo t.</t>
    </r>
  </si>
  <si>
    <r>
      <t xml:space="preserve">PGIRSCS </t>
    </r>
    <r>
      <rPr>
        <vertAlign val="subscript"/>
        <sz val="9"/>
        <color rgb="FF000000"/>
        <rFont val="Calibri"/>
        <family val="2"/>
        <scheme val="minor"/>
      </rPr>
      <t>t</t>
    </r>
    <r>
      <rPr>
        <sz val="9"/>
        <color rgb="FF000000"/>
        <rFont val="Calibri"/>
        <family val="2"/>
        <scheme val="minor"/>
      </rPr>
      <t xml:space="preserve"> = Número de Planes de Gestión Integral de Residuos Sólidos con seguimiento a las metas de aprovechamiento, en el tiempo t.</t>
    </r>
  </si>
  <si>
    <r>
      <t xml:space="preserve">MPGIRSCS </t>
    </r>
    <r>
      <rPr>
        <vertAlign val="subscript"/>
        <sz val="9"/>
        <color rgb="FF000000"/>
        <rFont val="Calibri"/>
        <family val="2"/>
        <scheme val="minor"/>
      </rPr>
      <t>t</t>
    </r>
    <r>
      <rPr>
        <sz val="9"/>
        <color rgb="FF000000"/>
        <rFont val="Calibri"/>
        <family val="2"/>
        <scheme val="minor"/>
      </rPr>
      <t xml:space="preserve"> = Meta de Planes de Gestión Integral de Residuos Sólidos con seguimiento a las metas de aprovechamiento, en el tiempo t.</t>
    </r>
  </si>
  <si>
    <t>La meta de número de Planes de Gestión Integral de Residuos Sólidos sujetos a seguimiento es establecida en el Plan de Acción de la Corporación. (Exclusivamente en lo relacionado con las metas de aprovechamiento)</t>
  </si>
  <si>
    <t>Número total de Planes de Gestión Integral de Residuos Sólidos (PGIRS) de la jurisdicción de la Corporación:</t>
  </si>
  <si>
    <t>Número total de Planes de Gestión Integral de Residuos Sólidos (PGIRS) priorizados por la Corporación para hacer seguimiento, exclusivamente en lo relacionado con las metas de aprovechamiento, en el cuatrienio:</t>
  </si>
  <si>
    <t>Meta de Planes de Gestión Integral de Residuos Sólidos (PGIRS) con seguimiento a las metas de aprovechamiento MPGIRSCS</t>
  </si>
  <si>
    <t>Número de Planes de Gestión Integral de Residuos Sólidos con seguimiento a las metas de aprovechamiento (PPGIRSCS)</t>
  </si>
  <si>
    <t>Porcentaje de Planes de Gestión Integral de Residuos Sólidos con seguimiento exclusivamente en lo relacionado con las metas de aprovechamiento (PPGIRSCS)</t>
  </si>
  <si>
    <t>Cuanto más cercano a cien por ciento, mayor es el cumplimiento de las metas que la autoridad ambiental se ha propuesto alcanzar en relación con el seguimiento a los Planes de Gestión Integral de Residuos Sólidos (PGIRS)</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</si>
  <si>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Planes de Gestión Integral de Residuos Sólidos (PGIRS) con seguimiento (Versión 1.0).</t>
    </r>
    <r>
      <rPr>
        <sz val="9"/>
        <color rgb="FF000000"/>
        <rFont val="Calibri"/>
        <family val="2"/>
        <scheme val="minor"/>
      </rPr>
      <t xml:space="preserve"> Ministerio de Ambiente y Desarrollo Sostenible, DGOAT-SINA y DAASU.</t>
    </r>
  </si>
  <si>
    <t>Porcentaje de sectores con acompañamiento para la reconversión hacia sistemas sostenibles de producción</t>
  </si>
  <si>
    <t>Es la relación entre el número de sectores acompañados por la Corporación Autónoma Regional en la reconversión hacia sistemas sostenibles de producción, y la meta de sectores priorizados por la autoridad ambiental para dicho acompañamiento.</t>
  </si>
  <si>
    <t>El indicador mide el cumplimiento de las metas establecidas en relación con los sectores priorizados por la Corporación para hacerles acompañamiento en la reconversión hacia sistemas sostenibles de producción. De esta manera, contribuye a la implementación de la Política de Producción y Consumo Sostenible y de la Estrategia de Crecimiento Verde del Plan Nacional de Desarrollo 2014-2018.</t>
  </si>
  <si>
    <t>Decreto 1076 de 2016.</t>
  </si>
  <si>
    <t>Ley 1753 de 2015, Plan Nacional de Desarrollo.</t>
  </si>
  <si>
    <t>Política de Producción y Consumo Sostenible (PPyCS)</t>
  </si>
  <si>
    <t>Plan Nacional de Desarrollo PND 2015-2018</t>
  </si>
  <si>
    <r>
      <t xml:space="preserve">El Ministerio de Ambiente formuló en 2010 la </t>
    </r>
    <r>
      <rPr>
        <b/>
        <sz val="9"/>
        <color rgb="FF000000"/>
        <rFont val="Calibri"/>
        <family val="2"/>
        <scheme val="minor"/>
      </rPr>
      <t>Política Nacional de Producción y Consumo Sostenible (PPyCS)</t>
    </r>
    <r>
      <rPr>
        <sz val="9"/>
        <color rgb="FF000000"/>
        <rFont val="Calibri"/>
        <family val="2"/>
        <scheme val="minor"/>
      </rPr>
      <t>, con el propósito de orientar el cambio de los patrones de producción y consumo de la economía colombiana hacia la sostenibilidad ambiental y consecuente con ello, contribuir al mejoramiento de la competitividad empresarial.</t>
    </r>
  </si>
  <si>
    <t>Los sectores prioritarios de la PPyCS son:</t>
  </si>
  <si>
    <r>
      <t xml:space="preserve">Sector </t>
    </r>
    <r>
      <rPr>
        <b/>
        <sz val="9"/>
        <color rgb="FF000000"/>
        <rFont val="Calibri"/>
        <family val="2"/>
        <scheme val="minor"/>
      </rPr>
      <t xml:space="preserve">público </t>
    </r>
    <r>
      <rPr>
        <sz val="9"/>
        <color rgb="FF000000"/>
        <rFont val="Calibri"/>
        <family val="2"/>
        <scheme val="minor"/>
      </rPr>
      <t>(obras de infraestructura, vivienda social, tecnologías, transporte público, generación de energía). (i) Con perspectivas de incidir en avances de sostenibilidad de obras y proyectos de gran impacto; (ii) Con potencial de que sea considerado como ejemplo en las prácticas de producción y consumo sostenible.</t>
    </r>
  </si>
  <si>
    <r>
      <t xml:space="preserve">Sector de la </t>
    </r>
    <r>
      <rPr>
        <b/>
        <sz val="9"/>
        <color rgb="FF000000"/>
        <rFont val="Calibri"/>
        <family val="2"/>
        <scheme val="minor"/>
      </rPr>
      <t>construcción</t>
    </r>
    <r>
      <rPr>
        <sz val="9"/>
        <color rgb="FF000000"/>
        <rFont val="Calibri"/>
        <family val="2"/>
        <scheme val="minor"/>
      </rPr>
      <t>. (i) Con perspectivas de incidir a través de su diseño, en el consumo de energía y agua y en el manejo de residuos en el sector doméstico. (ii) Gran escala y crecimiento. (iii) Con perspectivas de utilizar materiales sostenibles y estimular a los proveedores hacia procesos de producción más sostenibles.</t>
    </r>
  </si>
  <si>
    <r>
      <t xml:space="preserve">Sector </t>
    </r>
    <r>
      <rPr>
        <b/>
        <sz val="9"/>
        <color rgb="FF000000"/>
        <rFont val="Calibri"/>
        <family val="2"/>
        <scheme val="minor"/>
      </rPr>
      <t>manufacturero</t>
    </r>
    <r>
      <rPr>
        <sz val="9"/>
        <color rgb="FF000000"/>
        <rFont val="Calibri"/>
        <family val="2"/>
        <scheme val="minor"/>
      </rPr>
      <t xml:space="preserve"> (envases y empaques, alimentos, productos químicos, metalurgia). (i)Con perspectivas de optimizar en sus procesos productivos el uso eficiente de energía, agua y materias primas. (ii) Con potencial para la reducción y el aprovechamiento de los residuos. (iii) Con potencial de reducir su huella de carbono.</t>
    </r>
  </si>
  <si>
    <r>
      <t xml:space="preserve">Sector </t>
    </r>
    <r>
      <rPr>
        <b/>
        <sz val="9"/>
        <color rgb="FF000000"/>
        <rFont val="Calibri"/>
        <family val="2"/>
        <scheme val="minor"/>
      </rPr>
      <t>agroindustrial</t>
    </r>
    <r>
      <rPr>
        <sz val="9"/>
        <color rgb="FF000000"/>
        <rFont val="Calibri"/>
        <family val="2"/>
        <scheme val="minor"/>
      </rPr>
      <t xml:space="preserve"> (azúcar, flores, banano, biocombustibles). (i) Con alto potencial de exportación. (ii) Sector en crecimiento, especialmente en relación con los biocombustibles. (iii) Sector intensivo en el uso de recursos y con alto potencial de optimización.</t>
    </r>
  </si>
  <si>
    <r>
      <t xml:space="preserve">Sector </t>
    </r>
    <r>
      <rPr>
        <b/>
        <sz val="9"/>
        <color rgb="FF000000"/>
        <rFont val="Calibri"/>
        <family val="2"/>
        <scheme val="minor"/>
      </rPr>
      <t>turismo</t>
    </r>
    <r>
      <rPr>
        <sz val="9"/>
        <color rgb="FF000000"/>
        <rFont val="Calibri"/>
        <family val="2"/>
        <scheme val="minor"/>
      </rPr>
      <t>. (i) Sector estratégico dentro las políticas de competitividad nacional. (ii) Con potencial para hacer uso eficiente de energía y agua y manejo adecuado de residuos. (iii) Con potencial para ser ejemplo por el uso racional de los recursos.</t>
    </r>
  </si>
  <si>
    <r>
      <t xml:space="preserve">Sector de </t>
    </r>
    <r>
      <rPr>
        <b/>
        <sz val="9"/>
        <color rgb="FF000000"/>
        <rFont val="Calibri"/>
        <family val="2"/>
        <scheme val="minor"/>
      </rPr>
      <t>alimentos ecológicos</t>
    </r>
    <r>
      <rPr>
        <sz val="9"/>
        <color rgb="FF000000"/>
        <rFont val="Calibri"/>
        <family val="2"/>
        <scheme val="minor"/>
      </rPr>
      <t>. (i) Con potencial de crecimiento hacia la exportación. (ii) Con potencial de ser considerado como ejemplo para prácticas de producción y consumo sostenible. Sector de productos y servicios provenientes de la biodiversidad. (i) Con potencial de crecimiento hacia la exportación. (ii) Con potencial de ser considerado como ejemplo para prácticas de producción, consumo y aprovechamiento sostenible. Pymes proveedoras de grandes empresas. (i) Con potencial de difusión de prácticas entre grupos de empresas. (ii) Con potencial de generación y conservación de empleo (iii) Con potencial para implementar prácticas de producción y consumo sostenible.</t>
    </r>
  </si>
  <si>
    <r>
      <t xml:space="preserve">Por su parte, el Plan Nacional de Desarrollo 2014-2018 incluyó la </t>
    </r>
    <r>
      <rPr>
        <b/>
        <sz val="9"/>
        <color rgb="FF000000"/>
        <rFont val="Calibri"/>
        <family val="2"/>
        <scheme val="minor"/>
      </rPr>
      <t>Estrategia Transversal y Envolvente de Crecimiento Verde</t>
    </r>
    <r>
      <rPr>
        <sz val="9"/>
        <color rgb="FF000000"/>
        <rFont val="Calibri"/>
        <family val="2"/>
        <scheme val="minor"/>
      </rPr>
      <t xml:space="preserve"> con el fin de alcanzar una Colombia en paz y un desarrollo económico sostenible. El crecimiento verde propende por un desarrollo sostenible que garantice el bienestar económico y social de la población en el largo plazo, asegurando que la base de los recursos provea los bienes y servicios ecosistémicos que el país necesita y el ambiente natural sea capaz de recuperarse ante los impactos de las actividades productivas (DNP 2014)</t>
    </r>
  </si>
  <si>
    <t>La Estrategia Nacional de Crecimiento Verde cuenta con tres objetivos:</t>
  </si>
  <si>
    <r>
      <t>1.</t>
    </r>
    <r>
      <rPr>
        <sz val="7"/>
        <color rgb="FF000000"/>
        <rFont val="Times New Roman"/>
        <family val="1"/>
      </rPr>
      <t xml:space="preserve">       </t>
    </r>
    <r>
      <rPr>
        <sz val="9"/>
        <color rgb="FF000000"/>
        <rFont val="Calibri"/>
        <family val="2"/>
      </rPr>
      <t>Avanzar hacia un crecimiento sostenible y bajo en carbono</t>
    </r>
  </si>
  <si>
    <r>
      <t>2.</t>
    </r>
    <r>
      <rPr>
        <sz val="7"/>
        <color rgb="FF000000"/>
        <rFont val="Times New Roman"/>
        <family val="1"/>
      </rPr>
      <t xml:space="preserve">       </t>
    </r>
    <r>
      <rPr>
        <sz val="9"/>
        <color rgb="FF000000"/>
        <rFont val="Calibri"/>
        <family val="2"/>
      </rPr>
      <t>Proteger y asegurar el uso sostenible del capital natural y mejorar la calidad y gobernanza ambiental</t>
    </r>
  </si>
  <si>
    <r>
      <t>3.</t>
    </r>
    <r>
      <rPr>
        <sz val="7"/>
        <color rgb="FF000000"/>
        <rFont val="Times New Roman"/>
        <family val="1"/>
      </rPr>
      <t xml:space="preserve">       </t>
    </r>
    <r>
      <rPr>
        <sz val="9"/>
        <color rgb="FF000000"/>
        <rFont val="Calibri"/>
        <family val="2"/>
      </rPr>
      <t>lograr un crecimiento resiliente y reducir la vulnerabilidad frente a los riesgos de desastres y al cambio climático.</t>
    </r>
  </si>
  <si>
    <t>En particular, la Estrategia promueve la adopción de prácticas de generación de valor agregado por parte de todos los sectores productivos; así como la identificación y aprovechamiento de las oportunidades de aumento en la competitividad, productividad y eficiencia, que a su vez reduzcan las emisiones de GEI en los diferentes sectores de la economía nacional y promuevan la resiliencia a los efectos adversos del cambio climático.</t>
  </si>
  <si>
    <t>Ahora bien, el papel de las Corporaciones Autónomas Regionales en este campo es acompañar los sectores productivos hacia la reconversión a sistemas sostenibles de producción.</t>
  </si>
  <si>
    <t>Se entiende por acompañamiento a los sectores productivos contiene las siguientes acciones:</t>
  </si>
  <si>
    <r>
      <t>·</t>
    </r>
    <r>
      <rPr>
        <sz val="7"/>
        <color rgb="FF000000"/>
        <rFont val="Times New Roman"/>
        <family val="1"/>
      </rPr>
      <t xml:space="preserve">        </t>
    </r>
    <r>
      <rPr>
        <sz val="9"/>
        <color rgb="FF000000"/>
        <rFont val="Calibri"/>
        <family val="2"/>
      </rPr>
      <t>Reuniones de construcción de agendas conjuntas de trabajo y de actualización de los convenios sectoriales de producción más limpia firmados como espacios de concertación</t>
    </r>
  </si>
  <si>
    <r>
      <t>·</t>
    </r>
    <r>
      <rPr>
        <sz val="7"/>
        <color rgb="FF000000"/>
        <rFont val="Times New Roman"/>
        <family val="1"/>
      </rPr>
      <t xml:space="preserve">        </t>
    </r>
    <r>
      <rPr>
        <sz val="9"/>
        <color rgb="FF000000"/>
        <rFont val="Calibri"/>
        <family val="2"/>
      </rPr>
      <t>Informes de seguimiento al cumplimiento de las agendas sectoriales.</t>
    </r>
  </si>
  <si>
    <r>
      <t>·</t>
    </r>
    <r>
      <rPr>
        <sz val="7"/>
        <color rgb="FF000000"/>
        <rFont val="Times New Roman"/>
        <family val="1"/>
      </rPr>
      <t xml:space="preserve">        </t>
    </r>
    <r>
      <rPr>
        <sz val="9"/>
        <color rgb="FF000000"/>
        <rFont val="Calibri"/>
        <family val="2"/>
      </rPr>
      <t>Eventos de capacitación a los sectores sobre producción y consumo sostenible.</t>
    </r>
  </si>
  <si>
    <r>
      <t>·</t>
    </r>
    <r>
      <rPr>
        <sz val="7"/>
        <color rgb="FF000000"/>
        <rFont val="Times New Roman"/>
        <family val="1"/>
      </rPr>
      <t xml:space="preserve">        </t>
    </r>
    <r>
      <rPr>
        <sz val="9"/>
        <color rgb="FF000000"/>
        <rFont val="Calibri"/>
        <family val="2"/>
      </rPr>
      <t>Eventos de socialización de experiencias exitosas de sistemas productivos sostenibles.</t>
    </r>
  </si>
  <si>
    <t>Número de sectores con acompañamiento para la reconversión hacia sistemas sostenibles de producción</t>
  </si>
  <si>
    <r>
      <t>PSA</t>
    </r>
    <r>
      <rPr>
        <vertAlign val="subscript"/>
        <sz val="9"/>
        <color rgb="FF000000"/>
        <rFont val="Calibri"/>
        <family val="2"/>
        <scheme val="minor"/>
      </rPr>
      <t xml:space="preserve"> t</t>
    </r>
    <r>
      <rPr>
        <sz val="9"/>
        <color rgb="FF000000"/>
        <rFont val="Calibri"/>
        <family val="2"/>
        <scheme val="minor"/>
      </rPr>
      <t xml:space="preserve"> = Porcentaje de sectores con acompañamiento para la reconversión hacia sistemas sostenibles de producción (PSA)</t>
    </r>
  </si>
  <si>
    <r>
      <t xml:space="preserve">SA </t>
    </r>
    <r>
      <rPr>
        <vertAlign val="subscript"/>
        <sz val="9"/>
        <color rgb="FF000000"/>
        <rFont val="Calibri"/>
        <family val="2"/>
        <scheme val="minor"/>
      </rPr>
      <t>it</t>
    </r>
    <r>
      <rPr>
        <sz val="9"/>
        <color rgb="FF000000"/>
        <rFont val="Calibri"/>
        <family val="2"/>
        <scheme val="minor"/>
      </rPr>
      <t xml:space="preserve"> = Sectores acompañados en la reconversión hacia sistemas sostenibles de producción (SA)</t>
    </r>
  </si>
  <si>
    <r>
      <t xml:space="preserve">SPA </t>
    </r>
    <r>
      <rPr>
        <vertAlign val="subscript"/>
        <sz val="9"/>
        <color rgb="FF000000"/>
        <rFont val="Calibri"/>
        <family val="2"/>
        <scheme val="minor"/>
      </rPr>
      <t>it</t>
    </r>
    <r>
      <rPr>
        <sz val="9"/>
        <color rgb="FF000000"/>
        <rFont val="Calibri"/>
        <family val="2"/>
        <scheme val="minor"/>
      </rPr>
      <t xml:space="preserve"> = Número de sectores priorizados para acompañamiento en la reconversión hacia sistemas sostenibles de producción (SPA)</t>
    </r>
  </si>
  <si>
    <t>Ejecución presupuestal de acciones relacionadas con el acompañamiento para la reconversión hacia sistemas sostenibles de producción</t>
  </si>
  <si>
    <r>
      <t xml:space="preserve">EPAARSSP </t>
    </r>
    <r>
      <rPr>
        <vertAlign val="subscript"/>
        <sz val="9"/>
        <color rgb="FF000000"/>
        <rFont val="Calibri"/>
        <family val="2"/>
        <scheme val="minor"/>
      </rPr>
      <t>t</t>
    </r>
    <r>
      <rPr>
        <sz val="9"/>
        <color rgb="FF000000"/>
        <rFont val="Calibri"/>
        <family val="2"/>
        <scheme val="minor"/>
      </rPr>
      <t xml:space="preserve"> = Ejecución presupuestal de acciones relacionadas con el acompañamiento para la reconversión hacia sistemas sostenibles de producción, en el tiempo t</t>
    </r>
  </si>
  <si>
    <r>
      <t xml:space="preserve">CARSSP </t>
    </r>
    <r>
      <rPr>
        <vertAlign val="subscript"/>
        <sz val="9"/>
        <color rgb="FF000000"/>
        <rFont val="Calibri"/>
        <family val="2"/>
        <scheme val="minor"/>
      </rPr>
      <t>it</t>
    </r>
    <r>
      <rPr>
        <sz val="9"/>
        <color rgb="FF000000"/>
        <rFont val="Calibri"/>
        <family val="2"/>
        <scheme val="minor"/>
      </rPr>
      <t xml:space="preserve"> = Compromisos correspondientes a la acción i relacionada con el acompañamiento para la reconversión hacia sistemas sostenibles de producción, en el tiempo t.</t>
    </r>
  </si>
  <si>
    <r>
      <t xml:space="preserve">PDAARSSP </t>
    </r>
    <r>
      <rPr>
        <vertAlign val="subscript"/>
        <sz val="9"/>
        <color rgb="FF000000"/>
        <rFont val="Calibri"/>
        <family val="2"/>
        <scheme val="minor"/>
      </rPr>
      <t>it</t>
    </r>
    <r>
      <rPr>
        <sz val="9"/>
        <color rgb="FF000000"/>
        <rFont val="Calibri"/>
        <family val="2"/>
        <scheme val="minor"/>
      </rPr>
      <t xml:space="preserve"> = Presupuesto definitivo a la acción i relacionada con el acompañamiento para la reconversión hacia sistemas sostenibles de producción, en el tiempo t.</t>
    </r>
  </si>
  <si>
    <t>Número de sectores priorizados para acompañamiento en la reconversión hacia sistemas sostenibles de producción (SPA)</t>
  </si>
  <si>
    <t>Sector(es)</t>
  </si>
  <si>
    <t>Ejecución Presupuestal (%)</t>
  </si>
  <si>
    <t>inicial</t>
  </si>
  <si>
    <t>Ppto. Definitivo</t>
  </si>
  <si>
    <t>Cálculo de la ejecución física y presupuestal de acciones relacionadas con el acompañamiento para la reconversión hacia sistemas sostenibles de producción</t>
  </si>
  <si>
    <t>Ponderador</t>
  </si>
  <si>
    <t>Ejecución Presupuestal</t>
  </si>
  <si>
    <t>Compromisos / Ppto. Definitivo</t>
  </si>
  <si>
    <t>Pagos /</t>
  </si>
  <si>
    <t>Cuanto más cercano a cien por ciento, mayor es el cumplimiento de las metas establecidas en relación con los sectores priorizados por la Corporación para hacerles acompañamiento en la reconversión hacia sistemas sostenibles de producción.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</si>
  <si>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sectores con acompañamiento para la reconversión hacia sistemas sostenibles de producción (Versión 1.0).</t>
    </r>
    <r>
      <rPr>
        <sz val="9"/>
        <color rgb="FF000000"/>
        <rFont val="Calibri"/>
        <family val="2"/>
        <scheme val="minor"/>
      </rPr>
      <t xml:space="preserve"> Ministerio de Ambiente y Desarrollo Sostenible MADS, DGOAT-SINA y DAASU.</t>
    </r>
  </si>
  <si>
    <t>Porcentaje de ejecución de acciones en Gestión Ambiental Urbana</t>
  </si>
  <si>
    <t>Es el porcentaje de avance en la ejecución, por parte de la corporación autónoma regional, de las acciones relacionadas con la gestión ambiental urbana en el marco del Plan de Acción.</t>
  </si>
  <si>
    <t>El indicador mide el cumplimiento de las metas que la autoridad ambiental se ha propuesto alcanzar en relación con la gestión ambiental urbana, en el marco del Plan de Acción de la Corporación. De esta manera, contribuye a la ejecución, a nivel regional y local, de la Política de Gestión Ambiental Urbana (2008).</t>
  </si>
  <si>
    <t>Ley 1753 de 2015.</t>
  </si>
  <si>
    <t>Espacio público: Decreto 1077 de 2015.</t>
  </si>
  <si>
    <t>Estructura Ecológica Principal: Decreto 1077 de 2015.</t>
  </si>
  <si>
    <t>Política de Gestión Ambiental Urbana.</t>
  </si>
  <si>
    <t>Política para la Prevención y Control de la Contaminación del Aire.</t>
  </si>
  <si>
    <t>Política para la Gestión Integral de Residuos Sólidos.</t>
  </si>
  <si>
    <t>Política para la Gestión Integral de la Biodiversidad y sus servicios ecosistémicos.</t>
  </si>
  <si>
    <t>CONPES 3718 de 2012, Espacio público.</t>
  </si>
  <si>
    <t>CONPES 3819 de 2014</t>
  </si>
  <si>
    <t>Circular 8000-2-344415 de 2013, ICAU.</t>
  </si>
  <si>
    <t>La gestión ambiental urbana se refiere a la “gestión de los recursos naturales renovables y los problemas ambientales urbanos y sus efectos en la región o regiones vecinas. La gestión ambiental urbana es una acción conjunta entre el Estado y los actores sociales, que se articula con la gestión territorial, las políticas ambientales y las políticas o planes sectoriales que tienen relación o afectan el medio ambiente en el ámbito urbano regional. Esta gestión, demanda el uso selectivo y combinado de herramientas jurídicas, de planeación, técnicas, económicas, financieras y administrativas para lograr la protección y funcionamiento de los ecosistemas y el mejoramiento de la calidad de vida de la población, dentro de un marco de ciudad sostenible” (Política de Gestión Ambiental Urbana).</t>
  </si>
  <si>
    <t>La gestión ambiental urbana se centra en dos ejes principales:</t>
  </si>
  <si>
    <r>
      <t>1)</t>
    </r>
    <r>
      <rPr>
        <sz val="7"/>
        <color rgb="FF000000"/>
        <rFont val="Times New Roman"/>
        <family val="1"/>
      </rPr>
      <t xml:space="preserve">      </t>
    </r>
    <r>
      <rPr>
        <sz val="9"/>
        <color rgb="FF000000"/>
        <rFont val="Calibri"/>
        <family val="2"/>
        <scheme val="minor"/>
      </rPr>
      <t>La gestión ambiental de los componentes constitutivos del medio ambiente, comúnmente denominados recursos naturales renovables: agua (en cualquier estado), atmósfera (troposfera y estratosfera), suelo y subsuelo, biodiversidad (ecosistemas, especies, recursos genéticos), fuentes primarias de energía no agotable y paisaje.</t>
    </r>
  </si>
  <si>
    <r>
      <t>2)</t>
    </r>
    <r>
      <rPr>
        <sz val="7"/>
        <color rgb="FF000000"/>
        <rFont val="Times New Roman"/>
        <family val="1"/>
      </rPr>
      <t xml:space="preserve">      </t>
    </r>
    <r>
      <rPr>
        <sz val="9"/>
        <color rgb="FF000000"/>
        <rFont val="Calibri"/>
        <family val="2"/>
        <scheme val="minor"/>
      </rPr>
      <t>La gestión ambiental de los problemas ambientales, entendida como la gestión sobre los elementos o factores que interactúan e inciden sobre el ambiente en las áreas urbanas, entre los cuales se pueden mencionar: factores que ocasionan contaminación y deterioro de los recursos naturales renovables; factores que ocasionan pérdida o deterioro de la biodiversidad; factores que ocasionan pérdida o deterioro del espacio público y del paisaje; inadecuada gestión y disposición de residuos sólidos, líquidos y gaseosos; uso ineficiente de la energía y falta de uso de fuentes no convencionales de energía; riesgos de origen natural y antrópico; pasivos ambientales, patrones insostenibles de ocupación del territorio, patrones insostenibles de producción y consumo; baja o falta de conciencia y cultura ambiental de la población de las áreas urbanas; pérdida de valores socio - culturales de la población urbana, que puede llevar a la pérdida de su identidad cultural y en consecuencia de su sentido de pertenencia del entorno; e insuficiente respuesta institucional del SINA, en términos de escasos niveles de coordinación y baja capacidad técnica y operativa para atender la problemática urbana (PGAU)</t>
    </r>
  </si>
  <si>
    <t>Cabe aclarar que la gestión para el manejo de estos recursos, elementos y factores en las áreas urbanas involucra, de manera diferenciada, a las autoridades ambientales: (Corporaciones autónomas regionales y de desarrollo sostenible); Grandes Centros Urbanos a que se refiere el artículo 66 de la Ley 99 de 1993, a los establecimientos públicos de que trata del artículo 13 de la Ley 768 de 2003; el artículo 124 de la Ley 1617 de 2013; las áreas metropolitanas a que se refiere el literal J del artículo 7 de la Ley 1625 de 2013 y a los entes territoriales, dentro de su respectivo marco de competencias y jurisdicción.</t>
  </si>
  <si>
    <t>Dicha gestión se realiza en el marco de la Política de Gestión Ambiental Urbana. En tal sentido, las principales temáticas en gestión ambiental urbana en las que tienen competencia las Corporaciones Autónomas Regionales son:</t>
  </si>
  <si>
    <r>
      <t>1)</t>
    </r>
    <r>
      <rPr>
        <sz val="7"/>
        <color rgb="FF000000"/>
        <rFont val="Times New Roman"/>
        <family val="1"/>
      </rPr>
      <t xml:space="preserve">      </t>
    </r>
    <r>
      <rPr>
        <sz val="9"/>
        <color rgb="FF000000"/>
        <rFont val="Calibri"/>
        <family val="2"/>
        <scheme val="minor"/>
      </rPr>
      <t>Planificación y ordenamiento ambiental en áreas urbanas</t>
    </r>
  </si>
  <si>
    <r>
      <t>2)</t>
    </r>
    <r>
      <rPr>
        <sz val="7"/>
        <color rgb="FF000000"/>
        <rFont val="Times New Roman"/>
        <family val="1"/>
      </rPr>
      <t xml:space="preserve">      </t>
    </r>
    <r>
      <rPr>
        <sz val="9"/>
        <color rgb="FF000000"/>
        <rFont val="Calibri"/>
        <family val="2"/>
        <scheme val="minor"/>
      </rPr>
      <t>Gestión ambiental del Riesgo en áreas urbanas</t>
    </r>
  </si>
  <si>
    <r>
      <t>3)</t>
    </r>
    <r>
      <rPr>
        <sz val="7"/>
        <color rgb="FF000000"/>
        <rFont val="Times New Roman"/>
        <family val="1"/>
      </rPr>
      <t xml:space="preserve">      </t>
    </r>
    <r>
      <rPr>
        <sz val="9"/>
        <color rgb="FF000000"/>
        <rFont val="Calibri"/>
        <family val="2"/>
        <scheme val="minor"/>
      </rPr>
      <t>Gestión ambiental del Espacio Público en áreas urbanas</t>
    </r>
  </si>
  <si>
    <r>
      <t>4)</t>
    </r>
    <r>
      <rPr>
        <sz val="7"/>
        <color rgb="FF000000"/>
        <rFont val="Times New Roman"/>
        <family val="1"/>
      </rPr>
      <t xml:space="preserve">      </t>
    </r>
    <r>
      <rPr>
        <sz val="9"/>
        <color rgb="FF000000"/>
        <rFont val="Calibri"/>
        <family val="2"/>
        <scheme val="minor"/>
      </rPr>
      <t>Prevención y Control de la Contaminación del Aire en áreas urbanas (fenómeno de acumulación o concentración de contaminantes en el aire generado por diferentes tipos entre ellos contaminantes criterio, ruido y olores ofensivos)</t>
    </r>
  </si>
  <si>
    <r>
      <t>5)</t>
    </r>
    <r>
      <rPr>
        <sz val="7"/>
        <color rgb="FF000000"/>
        <rFont val="Times New Roman"/>
        <family val="1"/>
      </rPr>
      <t xml:space="preserve">      </t>
    </r>
    <r>
      <rPr>
        <sz val="9"/>
        <color rgb="FF000000"/>
        <rFont val="Calibri"/>
        <family val="2"/>
        <scheme val="minor"/>
      </rPr>
      <t>Gestión del Recurso Hídrico en áreas urbanas</t>
    </r>
  </si>
  <si>
    <r>
      <t>6)</t>
    </r>
    <r>
      <rPr>
        <sz val="7"/>
        <color rgb="FF000000"/>
        <rFont val="Times New Roman"/>
        <family val="1"/>
      </rPr>
      <t xml:space="preserve">      </t>
    </r>
    <r>
      <rPr>
        <sz val="9"/>
        <color rgb="FF000000"/>
        <rFont val="Calibri"/>
        <family val="2"/>
        <scheme val="minor"/>
      </rPr>
      <t>Gestión de Residuos sólidos en áreas urbanas</t>
    </r>
  </si>
  <si>
    <r>
      <t>7)</t>
    </r>
    <r>
      <rPr>
        <sz val="7"/>
        <color rgb="FF000000"/>
        <rFont val="Times New Roman"/>
        <family val="1"/>
      </rPr>
      <t xml:space="preserve">      </t>
    </r>
    <r>
      <rPr>
        <sz val="9"/>
        <color rgb="FF000000"/>
        <rFont val="Calibri"/>
        <family val="2"/>
        <scheme val="minor"/>
      </rPr>
      <t>Índice de calidad ambiental urbana</t>
    </r>
  </si>
  <si>
    <r>
      <t>8)</t>
    </r>
    <r>
      <rPr>
        <sz val="7"/>
        <color rgb="FF000000"/>
        <rFont val="Times New Roman"/>
        <family val="1"/>
      </rPr>
      <t xml:space="preserve">      </t>
    </r>
    <r>
      <rPr>
        <sz val="9"/>
        <color rgb="FF000000"/>
        <rFont val="Calibri"/>
        <family val="2"/>
        <scheme val="minor"/>
      </rPr>
      <t>Participación en gestión ambiental urbana</t>
    </r>
  </si>
  <si>
    <t>Las principales acciones relacionadas con la gestión ambiental urbana son las siguientes:</t>
  </si>
  <si>
    <r>
      <t>1)</t>
    </r>
    <r>
      <rPr>
        <sz val="7"/>
        <color rgb="FF000000"/>
        <rFont val="Times New Roman"/>
        <family val="1"/>
      </rPr>
      <t xml:space="preserve">      </t>
    </r>
    <r>
      <rPr>
        <sz val="9"/>
        <color rgb="FF000000"/>
        <rFont val="Calibri"/>
        <family val="2"/>
        <scheme val="minor"/>
      </rPr>
      <t>Planificación y ordenamiento ambiental en áreas urbanas, que incluye:</t>
    </r>
  </si>
  <si>
    <r>
      <t>a)</t>
    </r>
    <r>
      <rPr>
        <sz val="7"/>
        <color rgb="FF000000"/>
        <rFont val="Times New Roman"/>
        <family val="1"/>
      </rPr>
      <t xml:space="preserve">      </t>
    </r>
    <r>
      <rPr>
        <sz val="9"/>
        <color rgb="FF000000"/>
        <rFont val="Calibri"/>
        <family val="2"/>
        <scheme val="minor"/>
      </rPr>
      <t>Identificar y gestionar la estructura ecológica urbana</t>
    </r>
  </si>
  <si>
    <r>
      <t>b)</t>
    </r>
    <r>
      <rPr>
        <sz val="7"/>
        <color rgb="FF000000"/>
        <rFont val="Times New Roman"/>
        <family val="1"/>
      </rPr>
      <t xml:space="preserve">      </t>
    </r>
    <r>
      <rPr>
        <sz val="9"/>
        <color rgb="FF000000"/>
        <rFont val="Calibri"/>
        <family val="2"/>
        <scheme val="minor"/>
      </rPr>
      <t>Asesorar a los entes territoriales en la inclusión del componente ambiental urbano en los procesos de planificación y ordenamiento territorial, incluyendo el establecimiento de determinantes ambientales urbanos.</t>
    </r>
  </si>
  <si>
    <r>
      <t>c)</t>
    </r>
    <r>
      <rPr>
        <sz val="7"/>
        <color rgb="FF000000"/>
        <rFont val="Times New Roman"/>
        <family val="1"/>
      </rPr>
      <t xml:space="preserve">       </t>
    </r>
    <r>
      <rPr>
        <sz val="9"/>
        <color rgb="FF000000"/>
        <rFont val="Calibri"/>
        <family val="2"/>
        <scheme val="minor"/>
      </rPr>
      <t>Implementar estrategias de conservación y uso sostenible de los recursos naturales renovables que conforman la base natural.</t>
    </r>
  </si>
  <si>
    <r>
      <t>2)</t>
    </r>
    <r>
      <rPr>
        <sz val="7"/>
        <color rgb="FF000000"/>
        <rFont val="Times New Roman"/>
        <family val="1"/>
      </rPr>
      <t xml:space="preserve">      </t>
    </r>
    <r>
      <rPr>
        <sz val="9"/>
        <color rgb="FF000000"/>
        <rFont val="Calibri"/>
        <family val="2"/>
        <scheme val="minor"/>
      </rPr>
      <t>Gestión ambiental del Espacio Público en áreas urbanas, sin perjuicio de las competencias de las entidades territoriales.</t>
    </r>
  </si>
  <si>
    <r>
      <t>a)</t>
    </r>
    <r>
      <rPr>
        <sz val="7"/>
        <color rgb="FF000000"/>
        <rFont val="Times New Roman"/>
        <family val="1"/>
      </rPr>
      <t xml:space="preserve">      </t>
    </r>
    <r>
      <rPr>
        <sz val="9"/>
        <color rgb="FF000000"/>
        <rFont val="Calibri"/>
        <family val="2"/>
        <scheme val="minor"/>
      </rPr>
      <t>Conservar, manejar y restaurar elementos naturales del espacio público urbano.</t>
    </r>
  </si>
  <si>
    <r>
      <t>b)</t>
    </r>
    <r>
      <rPr>
        <sz val="7"/>
        <color rgb="FF000000"/>
        <rFont val="Times New Roman"/>
        <family val="1"/>
      </rPr>
      <t xml:space="preserve">      </t>
    </r>
    <r>
      <rPr>
        <sz val="9"/>
        <color rgb="FF000000"/>
        <rFont val="Calibri"/>
        <family val="2"/>
        <scheme val="minor"/>
      </rPr>
      <t>Prevenir y controlar la afectación ambiental en el espacio público.</t>
    </r>
  </si>
  <si>
    <r>
      <t>c)</t>
    </r>
    <r>
      <rPr>
        <sz val="7"/>
        <color rgb="FF000000"/>
        <rFont val="Times New Roman"/>
        <family val="1"/>
      </rPr>
      <t xml:space="preserve">       </t>
    </r>
    <r>
      <rPr>
        <sz val="9"/>
        <color rgb="FF000000"/>
        <rFont val="Calibri"/>
        <family val="2"/>
        <scheme val="minor"/>
      </rPr>
      <t>Promover, orientar y acompañar la gestión ambiental del espacio público por parte de las entidades territoriales.</t>
    </r>
  </si>
  <si>
    <r>
      <t>3)</t>
    </r>
    <r>
      <rPr>
        <sz val="7"/>
        <color rgb="FF000000"/>
        <rFont val="Times New Roman"/>
        <family val="1"/>
      </rPr>
      <t xml:space="preserve">      </t>
    </r>
    <r>
      <rPr>
        <sz val="9"/>
        <color rgb="FF000000"/>
        <rFont val="Calibri"/>
        <family val="2"/>
        <scheme val="minor"/>
      </rPr>
      <t>Prevención y Control de la Contaminación del Aire en áreas urbanas.</t>
    </r>
  </si>
  <si>
    <r>
      <t>a)</t>
    </r>
    <r>
      <rPr>
        <sz val="7"/>
        <color rgb="FF000000"/>
        <rFont val="Times New Roman"/>
        <family val="1"/>
      </rPr>
      <t xml:space="preserve">      </t>
    </r>
    <r>
      <rPr>
        <sz val="9"/>
        <color rgb="FF000000"/>
        <rFont val="Calibri"/>
        <family val="2"/>
        <scheme val="minor"/>
      </rPr>
      <t>Diseñar y ejecutar acciones integrales para la prevención y control de la contaminación del aire.</t>
    </r>
  </si>
  <si>
    <r>
      <t>b)</t>
    </r>
    <r>
      <rPr>
        <sz val="7"/>
        <color rgb="FF000000"/>
        <rFont val="Times New Roman"/>
        <family val="1"/>
      </rPr>
      <t xml:space="preserve">      </t>
    </r>
    <r>
      <rPr>
        <sz val="9"/>
        <color rgb="FF000000"/>
        <rFont val="Calibri"/>
        <family val="2"/>
        <scheme val="minor"/>
      </rPr>
      <t>Fortalecer la capacidad institucional para el control y seguimiento de la contaminación del aire.</t>
    </r>
  </si>
  <si>
    <r>
      <t>c)</t>
    </r>
    <r>
      <rPr>
        <sz val="7"/>
        <color rgb="FF000000"/>
        <rFont val="Times New Roman"/>
        <family val="1"/>
      </rPr>
      <t xml:space="preserve">       </t>
    </r>
    <r>
      <rPr>
        <sz val="9"/>
        <color rgb="FF000000"/>
        <rFont val="Calibri"/>
        <family val="2"/>
        <scheme val="minor"/>
      </rPr>
      <t>Establecer e implementar programas de reducción de la contaminación del aire, cuando se requiera.</t>
    </r>
  </si>
  <si>
    <r>
      <t>d)</t>
    </r>
    <r>
      <rPr>
        <sz val="7"/>
        <color rgb="FF000000"/>
        <rFont val="Times New Roman"/>
        <family val="1"/>
      </rPr>
      <t xml:space="preserve">      </t>
    </r>
    <r>
      <rPr>
        <sz val="9"/>
        <color rgb="FF000000"/>
        <rFont val="Calibri"/>
        <family val="2"/>
        <scheme val="minor"/>
      </rPr>
      <t>Fortalecer las mesas regionales de calidad del aire donde se establezca la articulación entre las diferentes entidades relacionadas con la prevención y el control de la contaminación del aire.</t>
    </r>
  </si>
  <si>
    <r>
      <t>e)</t>
    </r>
    <r>
      <rPr>
        <sz val="7"/>
        <color rgb="FF000000"/>
        <rFont val="Times New Roman"/>
        <family val="1"/>
      </rPr>
      <t xml:space="preserve">      </t>
    </r>
    <r>
      <rPr>
        <sz val="9"/>
        <color rgb="FF000000"/>
        <rFont val="Calibri"/>
        <family val="2"/>
        <scheme val="minor"/>
      </rPr>
      <t>Asesorar a los entes territoriales para el mejor cumplimiento de sus funciones de control y vigilancia de los fenómenos de contaminación del aire.</t>
    </r>
  </si>
  <si>
    <r>
      <t>4)</t>
    </r>
    <r>
      <rPr>
        <sz val="7"/>
        <color rgb="FF000000"/>
        <rFont val="Times New Roman"/>
        <family val="1"/>
      </rPr>
      <t xml:space="preserve">      </t>
    </r>
    <r>
      <rPr>
        <sz val="9"/>
        <color rgb="FF000000"/>
        <rFont val="Calibri"/>
        <family val="2"/>
        <scheme val="minor"/>
      </rPr>
      <t>Gestión del Recurso Hídrico en áreas urbanas.</t>
    </r>
  </si>
  <si>
    <r>
      <t>a)</t>
    </r>
    <r>
      <rPr>
        <sz val="7"/>
        <color rgb="FF000000"/>
        <rFont val="Times New Roman"/>
        <family val="1"/>
      </rPr>
      <t xml:space="preserve">      </t>
    </r>
    <r>
      <rPr>
        <sz val="9"/>
        <color rgb="FF000000"/>
        <rFont val="Calibri"/>
        <family val="2"/>
        <scheme val="minor"/>
      </rPr>
      <t>Promover el uso eficiente y ahorro de agua.</t>
    </r>
  </si>
  <si>
    <r>
      <t>5)</t>
    </r>
    <r>
      <rPr>
        <sz val="7"/>
        <color rgb="FF000000"/>
        <rFont val="Times New Roman"/>
        <family val="1"/>
      </rPr>
      <t xml:space="preserve">      </t>
    </r>
    <r>
      <rPr>
        <sz val="9"/>
        <color rgb="FF000000"/>
        <rFont val="Calibri"/>
        <family val="2"/>
        <scheme val="minor"/>
      </rPr>
      <t>Gestión de Residuos sólidos en áreas urbanas.</t>
    </r>
  </si>
  <si>
    <r>
      <t>a)</t>
    </r>
    <r>
      <rPr>
        <sz val="7"/>
        <color rgb="FF000000"/>
        <rFont val="Times New Roman"/>
        <family val="1"/>
      </rPr>
      <t xml:space="preserve">      </t>
    </r>
    <r>
      <rPr>
        <sz val="9"/>
        <color rgb="FF000000"/>
        <rFont val="Calibri"/>
        <family val="2"/>
        <scheme val="minor"/>
      </rPr>
      <t>Promover el aprovechamiento de residuos sólidos.</t>
    </r>
  </si>
  <si>
    <r>
      <t>6)</t>
    </r>
    <r>
      <rPr>
        <sz val="7"/>
        <color rgb="FF000000"/>
        <rFont val="Times New Roman"/>
        <family val="1"/>
      </rPr>
      <t xml:space="preserve">      </t>
    </r>
    <r>
      <rPr>
        <sz val="9"/>
        <color rgb="FF000000"/>
        <rFont val="Calibri"/>
        <family val="2"/>
        <scheme val="minor"/>
      </rPr>
      <t>Compilar y reportar la información relacionada con los indicadores que conformar el Índice de Calidad Ambiental Urbana (ICAU)</t>
    </r>
  </si>
  <si>
    <r>
      <t>7)</t>
    </r>
    <r>
      <rPr>
        <sz val="7"/>
        <color rgb="FF000000"/>
        <rFont val="Times New Roman"/>
        <family val="1"/>
      </rPr>
      <t xml:space="preserve">      </t>
    </r>
    <r>
      <rPr>
        <sz val="9"/>
        <color rgb="FF000000"/>
        <rFont val="Calibri"/>
        <family val="2"/>
        <scheme val="minor"/>
      </rPr>
      <t>Participación en gestión ambiental urbana</t>
    </r>
  </si>
  <si>
    <r>
      <t>a)</t>
    </r>
    <r>
      <rPr>
        <sz val="7"/>
        <color rgb="FF000000"/>
        <rFont val="Times New Roman"/>
        <family val="1"/>
      </rPr>
      <t xml:space="preserve">      </t>
    </r>
    <r>
      <rPr>
        <sz val="9"/>
        <color rgb="FF000000"/>
        <rFont val="Calibri"/>
        <family val="2"/>
        <scheme val="minor"/>
      </rPr>
      <t xml:space="preserve">Promover y fortalecer los espacios de participación social en gestión ambiental urbana </t>
    </r>
  </si>
  <si>
    <t>Porcentaje de ejecución de acciones relacionadas con la gestión ambiental urbana.</t>
  </si>
  <si>
    <r>
      <t xml:space="preserve">ETAGAU </t>
    </r>
    <r>
      <rPr>
        <vertAlign val="subscript"/>
        <sz val="9"/>
        <color rgb="FF000000"/>
        <rFont val="Calibri"/>
        <family val="2"/>
        <scheme val="minor"/>
      </rPr>
      <t>t</t>
    </r>
    <r>
      <rPr>
        <sz val="9"/>
        <color rgb="FF000000"/>
        <rFont val="Calibri"/>
        <family val="2"/>
        <scheme val="minor"/>
      </rPr>
      <t xml:space="preserve"> = Porcentaje de ejecución total de acciones en gestión ambiental urbana, en el tiempo t.</t>
    </r>
  </si>
  <si>
    <r>
      <t xml:space="preserve">EAGAU </t>
    </r>
    <r>
      <rPr>
        <vertAlign val="subscript"/>
        <sz val="9"/>
        <color rgb="FF000000"/>
        <rFont val="Calibri"/>
        <family val="2"/>
        <scheme val="minor"/>
      </rPr>
      <t>t1t</t>
    </r>
    <r>
      <rPr>
        <sz val="9"/>
        <color rgb="FF000000"/>
        <rFont val="Calibri"/>
        <family val="2"/>
        <scheme val="minor"/>
      </rPr>
      <t xml:space="preserve"> = Porcentaje de ejecución de la acción </t>
    </r>
    <r>
      <rPr>
        <i/>
        <sz val="9"/>
        <color rgb="FF000000"/>
        <rFont val="Calibri"/>
        <family val="2"/>
        <scheme val="minor"/>
      </rPr>
      <t>1</t>
    </r>
    <r>
      <rPr>
        <sz val="9"/>
        <color rgb="FF000000"/>
        <rFont val="Calibri"/>
        <family val="2"/>
        <scheme val="minor"/>
      </rPr>
      <t xml:space="preserve"> relacionada con la gestión ambiental urbana, en el tiempo t.</t>
    </r>
  </si>
  <si>
    <r>
      <t xml:space="preserve">EAGAU </t>
    </r>
    <r>
      <rPr>
        <vertAlign val="subscript"/>
        <sz val="9"/>
        <color rgb="FF000000"/>
        <rFont val="Calibri"/>
        <family val="2"/>
        <scheme val="minor"/>
      </rPr>
      <t>2t</t>
    </r>
    <r>
      <rPr>
        <sz val="9"/>
        <color rgb="FF000000"/>
        <rFont val="Calibri"/>
        <family val="2"/>
        <scheme val="minor"/>
      </rPr>
      <t xml:space="preserve"> = Porcentaje de ejecución de la acción </t>
    </r>
    <r>
      <rPr>
        <i/>
        <sz val="9"/>
        <color rgb="FF000000"/>
        <rFont val="Calibri"/>
        <family val="2"/>
        <scheme val="minor"/>
      </rPr>
      <t>2</t>
    </r>
    <r>
      <rPr>
        <sz val="9"/>
        <color rgb="FF000000"/>
        <rFont val="Calibri"/>
        <family val="2"/>
        <scheme val="minor"/>
      </rPr>
      <t xml:space="preserve"> relacionada con la gestión ambiental urbana, en el tiempo t.</t>
    </r>
  </si>
  <si>
    <r>
      <t xml:space="preserve">EAGAU </t>
    </r>
    <r>
      <rPr>
        <vertAlign val="subscript"/>
        <sz val="9"/>
        <color rgb="FF000000"/>
        <rFont val="Calibri"/>
        <family val="2"/>
        <scheme val="minor"/>
      </rPr>
      <t>nt</t>
    </r>
    <r>
      <rPr>
        <sz val="9"/>
        <color rgb="FF000000"/>
        <rFont val="Calibri"/>
        <family val="2"/>
        <scheme val="minor"/>
      </rPr>
      <t xml:space="preserve"> = Porcentaje de ejecución de la acción </t>
    </r>
    <r>
      <rPr>
        <i/>
        <sz val="9"/>
        <color rgb="FF000000"/>
        <rFont val="Calibri"/>
        <family val="2"/>
        <scheme val="minor"/>
      </rPr>
      <t>n</t>
    </r>
    <r>
      <rPr>
        <sz val="9"/>
        <color rgb="FF000000"/>
        <rFont val="Calibri"/>
        <family val="2"/>
        <scheme val="minor"/>
      </rPr>
      <t xml:space="preserve"> relacionada con la gestión ambiental urbana, en el tiempo t.</t>
    </r>
  </si>
  <si>
    <r>
      <t>a = ponderador de EAGAU</t>
    </r>
    <r>
      <rPr>
        <vertAlign val="subscript"/>
        <sz val="9"/>
        <color rgb="FF000000"/>
        <rFont val="Calibri"/>
        <family val="2"/>
        <scheme val="minor"/>
      </rPr>
      <t>1</t>
    </r>
    <r>
      <rPr>
        <sz val="9"/>
        <color rgb="FF000000"/>
        <rFont val="Calibri"/>
        <family val="2"/>
        <scheme val="minor"/>
      </rPr>
      <t>.</t>
    </r>
  </si>
  <si>
    <r>
      <t>b = ponderador de EAGAU</t>
    </r>
    <r>
      <rPr>
        <vertAlign val="subscript"/>
        <sz val="9"/>
        <color rgb="FF000000"/>
        <rFont val="Calibri"/>
        <family val="2"/>
        <scheme val="minor"/>
      </rPr>
      <t>2</t>
    </r>
    <r>
      <rPr>
        <sz val="9"/>
        <color rgb="FF000000"/>
        <rFont val="Calibri"/>
        <family val="2"/>
        <scheme val="minor"/>
      </rPr>
      <t>.</t>
    </r>
  </si>
  <si>
    <r>
      <t>z = ponderador de EAGAU</t>
    </r>
    <r>
      <rPr>
        <vertAlign val="subscript"/>
        <sz val="9"/>
        <color rgb="FF000000"/>
        <rFont val="Calibri"/>
        <family val="2"/>
        <scheme val="minor"/>
      </rPr>
      <t>n</t>
    </r>
    <r>
      <rPr>
        <sz val="9"/>
        <color rgb="FF000000"/>
        <rFont val="Calibri"/>
        <family val="2"/>
        <scheme val="minor"/>
      </rPr>
      <t>.</t>
    </r>
  </si>
  <si>
    <t>a + b + c+…+z = 1.</t>
  </si>
  <si>
    <t>Ejecución presupuestal de acciones relacionadas con la gestión ambiental urbana.</t>
  </si>
  <si>
    <r>
      <t xml:space="preserve">EPAGAU </t>
    </r>
    <r>
      <rPr>
        <vertAlign val="subscript"/>
        <sz val="9"/>
        <color rgb="FF000000"/>
        <rFont val="Calibri"/>
        <family val="2"/>
        <scheme val="minor"/>
      </rPr>
      <t>t</t>
    </r>
    <r>
      <rPr>
        <sz val="9"/>
        <color rgb="FF000000"/>
        <rFont val="Calibri"/>
        <family val="2"/>
        <scheme val="minor"/>
      </rPr>
      <t xml:space="preserve"> = Ejecución presupuestal de acciones en gestión ambiental urbana, en el año t.</t>
    </r>
  </si>
  <si>
    <r>
      <t xml:space="preserve">CGAU </t>
    </r>
    <r>
      <rPr>
        <vertAlign val="subscript"/>
        <sz val="9"/>
        <color rgb="FF000000"/>
        <rFont val="Calibri"/>
        <family val="2"/>
        <scheme val="minor"/>
      </rPr>
      <t>it</t>
    </r>
    <r>
      <rPr>
        <sz val="9"/>
        <color rgb="FF000000"/>
        <rFont val="Calibri"/>
        <family val="2"/>
        <scheme val="minor"/>
      </rPr>
      <t xml:space="preserve"> = Compromisos correspondientes a la acción i en gestión ambiental urbana, en el año t.</t>
    </r>
  </si>
  <si>
    <r>
      <t xml:space="preserve">PDAGAU </t>
    </r>
    <r>
      <rPr>
        <vertAlign val="subscript"/>
        <sz val="9"/>
        <color rgb="FF000000"/>
        <rFont val="Calibri"/>
        <family val="2"/>
        <scheme val="minor"/>
      </rPr>
      <t>it</t>
    </r>
    <r>
      <rPr>
        <sz val="9"/>
        <color rgb="FF000000"/>
        <rFont val="Calibri"/>
        <family val="2"/>
        <scheme val="minor"/>
      </rPr>
      <t xml:space="preserve"> = Presupuesto definitivo a la acción i en gestión ambiental urbana, en el año t.</t>
    </r>
  </si>
  <si>
    <t>Número de acciones relacionadas con gestión ambiental urbana</t>
  </si>
  <si>
    <t>Ejecución física de las acciones relacionadas con la gestión ambiental urbana</t>
  </si>
  <si>
    <t>Ejecución presupuestal de acciones relacionadas con la gestión ambiental urbana (utilice tantas filas cuantas sean necesarias)</t>
  </si>
  <si>
    <t>Presupuesto inicial</t>
  </si>
  <si>
    <t>Compromisos / Ppto Def.</t>
  </si>
  <si>
    <t>Pagos / Compromisos</t>
  </si>
  <si>
    <t>Cuanto más cercano a cien por ciento, mayor es el cumplimiento de las metas que la autoridad ambiental se ha propuesto alcanzar en relación con la gestión ambiental urbana, en el marco del Plan de Acción de la Corporación.</t>
  </si>
  <si>
    <r>
      <t xml:space="preserve">Hoja Metodológica de referencia: MADS (2016). </t>
    </r>
    <r>
      <rPr>
        <i/>
        <sz val="9"/>
        <color rgb="FF000000"/>
        <rFont val="Calibri"/>
        <family val="2"/>
        <scheme val="minor"/>
      </rPr>
      <t>Hoja metodológica Ejecución de Acciones en Gestión Ambiental Urbana (Versión 1.0).</t>
    </r>
    <r>
      <rPr>
        <sz val="9"/>
        <color rgb="FF000000"/>
        <rFont val="Calibri"/>
        <family val="2"/>
        <scheme val="minor"/>
      </rPr>
      <t xml:space="preserve"> Ministerio de Ambiente y Desarrollo Sostenible MADS, DGOAT-SINA y DAASU.</t>
    </r>
  </si>
  <si>
    <t>Implementación del Programa Regional de Negocios Verdes por la autoridad ambiental</t>
  </si>
  <si>
    <t>Es el porcentaje de avance en la implementación de las acciones a cargo de la Corporación en el marco del Programa Regional de Negocios Verdes</t>
  </si>
  <si>
    <t>El indicador mide el cumplimiento de las metas, a cargo de la Autoridad Ambiental, en el marco del Plan Nacional de Negocios Verdes y el Plan Regional de Negocios Verdes. De esta forma contribuye a la implementación del Plan Nacional de Negocios Verdes y de la Estrategia Crecimiento Verde del Plan Nacional de Desarrollo 2014-2018</t>
  </si>
  <si>
    <r>
      <t xml:space="preserve"> </t>
    </r>
    <r>
      <rPr>
        <b/>
        <sz val="9"/>
        <color rgb="FF000000"/>
        <rFont val="Calibri"/>
        <family val="2"/>
        <scheme val="minor"/>
      </rPr>
      <t>Normatividad de soporte:</t>
    </r>
  </si>
  <si>
    <t>Decreto 1076 de 2016, Decreto Único Reglamentario.</t>
  </si>
  <si>
    <t>Ley 1753 de 2015, Plan Nacional de Desarrollo PND 2014-2018.</t>
  </si>
  <si>
    <t>Política Nacional de Producción y Consumo Sostenible.</t>
  </si>
  <si>
    <t>Plan Nacional de Negocios Verdes PNNV.</t>
  </si>
  <si>
    <t>Política Nacional para la Gestión Integral de la Biodiversidad y sus Servicios Ecosistémicos.</t>
  </si>
  <si>
    <t>Declaración de Crecimiento Verde de la Organización para la Cooperación y el Desarrollo Económico OCDE.</t>
  </si>
  <si>
    <t>Estrategia de Crecimiento Verde del Plan Nacional de Desarrollo.</t>
  </si>
  <si>
    <t>Metodología para la Implementación de los PRNV, elaborada y publicada con la Agencia de Cooperación Alemana- GIZ, en coordinación con el MADS.</t>
  </si>
  <si>
    <t>Programas Regionales de Negocios Verdes PRNV para las Regiones: Caribe, Pacifico, Central, Amazonia, y Orinoquia.</t>
  </si>
  <si>
    <t>Programa Nacional de Biocomercio Sostenible</t>
  </si>
  <si>
    <t>Guía de Verificación y Evaluación de Criterios de Negocios Verdes.</t>
  </si>
  <si>
    <t>https://www.minambiente.gov.co/index.php/ambientes-y-desarrollos-sostenibles/negocios-verdes-y-sostenibles</t>
  </si>
  <si>
    <t>Los Negocios Verdes y Sostenibles comprenden las actividades económicas en las que se ofrecen bienes o servicios que generan impactos ambientales positivos y que, además, incorporan buenas prácticas ambientales, sociales y económicas, con enfoque de ciclo de vida, contribuyendo a la conservación del ambiente como capital natural que soporta el desarrollo del territorio (Oficina de Negocios Verdes Sostenibles ONVS, 2014)</t>
  </si>
  <si>
    <t>El Objetivo 2 de la Estrategia Crecimiento Verde, incorporada en el PND 2014-2018, busca proteger y asegurar el uso sostenible del capital natural y mejorar la calidad y gobernanza ambiental. Para ello la Estrategia tiene como fin mejorar la calidad ambiental a partir del fortalecimiento del desempeño ambiental de los sectores productivos, buscando mejorar su competitividad; en la cual se inscribe la Meta Nacional Estratégica No. 13: Cinco (5) Programas Regionales de Negocios Verdes implementados para el aumento de la competitividad, a cargo de las CAR y la ONVS.</t>
  </si>
  <si>
    <r>
      <t xml:space="preserve">La implementación de los </t>
    </r>
    <r>
      <rPr>
        <b/>
        <sz val="9"/>
        <color rgb="FF000000"/>
        <rFont val="Calibri"/>
        <family val="2"/>
        <scheme val="minor"/>
      </rPr>
      <t>Programas Regionales de Negocios Verdes</t>
    </r>
    <r>
      <rPr>
        <sz val="9"/>
        <color rgb="FF000000"/>
        <rFont val="Calibri"/>
        <family val="2"/>
        <scheme val="minor"/>
      </rPr>
      <t>- PRNV se evaluará de acuerdo a tres (3) criterios:</t>
    </r>
  </si>
  <si>
    <t>1) Formulación de Planes de acción para la ejecución del PRNV en la jurisdicción de cada Autoridad Ambiental</t>
  </si>
  <si>
    <t>2) Conformación de la Ventanilla/Nodo de Negocios Verdes o realización de alianzas o acuerdos con otras instituciones.</t>
  </si>
  <si>
    <t>3) Contar con mínimo dos pilotos de Negocios Verdes verificados bajo los criterios descritos en el Plan Nacional de Negocios Verdes y PRNV</t>
  </si>
  <si>
    <t>Las principales acciones relacionadas con la ejecución Implementación del Programa Regional de Negocios Verdes por la autoridad ambiental son:</t>
  </si>
  <si>
    <r>
      <t>1)</t>
    </r>
    <r>
      <rPr>
        <sz val="7"/>
        <color rgb="FF000000"/>
        <rFont val="Times New Roman"/>
        <family val="1"/>
      </rPr>
      <t xml:space="preserve">      </t>
    </r>
    <r>
      <rPr>
        <sz val="9"/>
        <color rgb="FF000000"/>
        <rFont val="Calibri"/>
        <family val="2"/>
      </rPr>
      <t>Formulación de los Planes de Acción para la ejecución del Programa Regional de Negocios Verdes</t>
    </r>
  </si>
  <si>
    <r>
      <t>a)</t>
    </r>
    <r>
      <rPr>
        <sz val="7"/>
        <color rgb="FF000000"/>
        <rFont val="Times New Roman"/>
        <family val="1"/>
      </rPr>
      <t xml:space="preserve">      </t>
    </r>
    <r>
      <rPr>
        <sz val="9"/>
        <color rgb="FF000000"/>
        <rFont val="Calibri"/>
        <family val="2"/>
      </rPr>
      <t>Talleres de construcción del plan de trabajo, de la Corporación en el marco de la etapa de planeación.</t>
    </r>
  </si>
  <si>
    <r>
      <t>b)</t>
    </r>
    <r>
      <rPr>
        <sz val="7"/>
        <color rgb="FF000000"/>
        <rFont val="Times New Roman"/>
        <family val="1"/>
      </rPr>
      <t xml:space="preserve">      </t>
    </r>
    <r>
      <rPr>
        <sz val="9"/>
        <color rgb="FF000000"/>
        <rFont val="Calibri"/>
        <family val="2"/>
      </rPr>
      <t>Capacitación en criterios de Negocios Verdes</t>
    </r>
  </si>
  <si>
    <r>
      <t>c)</t>
    </r>
    <r>
      <rPr>
        <sz val="7"/>
        <color rgb="FF000000"/>
        <rFont val="Times New Roman"/>
        <family val="1"/>
      </rPr>
      <t xml:space="preserve">       </t>
    </r>
    <r>
      <rPr>
        <sz val="9"/>
        <color rgb="FF000000"/>
        <rFont val="Calibri"/>
        <family val="2"/>
      </rPr>
      <t>Levantamiento Línea Base de Negocios Verdes en la región</t>
    </r>
  </si>
  <si>
    <r>
      <t>2)</t>
    </r>
    <r>
      <rPr>
        <sz val="7"/>
        <color rgb="FF000000"/>
        <rFont val="Times New Roman"/>
        <family val="1"/>
      </rPr>
      <t xml:space="preserve">      </t>
    </r>
    <r>
      <rPr>
        <sz val="9"/>
        <color rgb="FF000000"/>
        <rFont val="Calibri"/>
        <family val="2"/>
      </rPr>
      <t>Conformación de la ventanilla o nodo de negocios verdes o realización de alianzas o acuerdos con otras instituciones para la implementación en la AA</t>
    </r>
  </si>
  <si>
    <r>
      <t>a)</t>
    </r>
    <r>
      <rPr>
        <sz val="7"/>
        <color rgb="FF000000"/>
        <rFont val="Times New Roman"/>
        <family val="1"/>
      </rPr>
      <t xml:space="preserve">      </t>
    </r>
    <r>
      <rPr>
        <sz val="9"/>
        <color rgb="FF000000"/>
        <rFont val="Calibri"/>
        <family val="2"/>
      </rPr>
      <t>Protocolización de la creación de la ventanilla o nodo de negocios verdes en la A.A.</t>
    </r>
  </si>
  <si>
    <r>
      <t>b)</t>
    </r>
    <r>
      <rPr>
        <sz val="7"/>
        <color rgb="FF000000"/>
        <rFont val="Times New Roman"/>
        <family val="1"/>
      </rPr>
      <t xml:space="preserve">      </t>
    </r>
    <r>
      <rPr>
        <sz val="9"/>
        <color rgb="FF000000"/>
        <rFont val="Calibri"/>
        <family val="2"/>
      </rPr>
      <t>Suscripción de alianzas o acuerdos publico privadas para la ejecución del PRNV (*)</t>
    </r>
  </si>
  <si>
    <r>
      <t>3)</t>
    </r>
    <r>
      <rPr>
        <sz val="7"/>
        <color rgb="FF000000"/>
        <rFont val="Times New Roman"/>
        <family val="1"/>
      </rPr>
      <t xml:space="preserve">      </t>
    </r>
    <r>
      <rPr>
        <sz val="9"/>
        <color rgb="FF000000"/>
        <rFont val="Calibri"/>
        <family val="2"/>
      </rPr>
      <t>Identificación de la línea base de negocios verdes verificados bajo la herramienta de negocios verdes (Guía de Verificación y Evaluación de Criterios de Negocios Verdes).</t>
    </r>
  </si>
  <si>
    <r>
      <t>a)</t>
    </r>
    <r>
      <rPr>
        <sz val="7"/>
        <color rgb="FF000000"/>
        <rFont val="Times New Roman"/>
        <family val="1"/>
      </rPr>
      <t xml:space="preserve">      </t>
    </r>
    <r>
      <rPr>
        <sz val="9"/>
        <color rgb="FF000000"/>
        <rFont val="Calibri"/>
        <family val="2"/>
      </rPr>
      <t>Al menos dos (2) pilotos verificados por la autoridad ambiental</t>
    </r>
  </si>
  <si>
    <r>
      <t>b)</t>
    </r>
    <r>
      <rPr>
        <sz val="7"/>
        <color rgb="FF000000"/>
        <rFont val="Times New Roman"/>
        <family val="1"/>
      </rPr>
      <t xml:space="preserve">      </t>
    </r>
    <r>
      <rPr>
        <sz val="9"/>
        <color rgb="FF000000"/>
        <rFont val="Calibri"/>
        <family val="2"/>
      </rPr>
      <t>Acompañamiento en la implementación de los planes de mejora</t>
    </r>
  </si>
  <si>
    <r>
      <t>4)</t>
    </r>
    <r>
      <rPr>
        <sz val="7"/>
        <color rgb="FF000000"/>
        <rFont val="Times New Roman"/>
        <family val="1"/>
      </rPr>
      <t xml:space="preserve">      </t>
    </r>
    <r>
      <rPr>
        <sz val="9"/>
        <color rgb="FF000000"/>
        <rFont val="Calibri"/>
        <family val="2"/>
      </rPr>
      <t>Comercialización:</t>
    </r>
  </si>
  <si>
    <r>
      <t>a)</t>
    </r>
    <r>
      <rPr>
        <sz val="7"/>
        <color rgb="FF000000"/>
        <rFont val="Times New Roman"/>
        <family val="1"/>
      </rPr>
      <t xml:space="preserve">      </t>
    </r>
    <r>
      <rPr>
        <sz val="9"/>
        <color rgb="FF000000"/>
        <rFont val="Calibri"/>
        <family val="2"/>
      </rPr>
      <t>Construcción de la estrategia regional de N.V. teniendo en cuenta la oferta y demanda regional.</t>
    </r>
  </si>
  <si>
    <r>
      <t>b)</t>
    </r>
    <r>
      <rPr>
        <sz val="7"/>
        <color rgb="FF000000"/>
        <rFont val="Times New Roman"/>
        <family val="1"/>
      </rPr>
      <t xml:space="preserve">      </t>
    </r>
    <r>
      <rPr>
        <sz val="9"/>
        <color rgb="FF000000"/>
        <rFont val="Calibri"/>
        <family val="2"/>
      </rPr>
      <t>Base de datos de N.V. verificados para alimentar el portafolio de bienes y servicios de negocios del MADS</t>
    </r>
  </si>
  <si>
    <r>
      <t>c)</t>
    </r>
    <r>
      <rPr>
        <sz val="7"/>
        <color rgb="FF000000"/>
        <rFont val="Times New Roman"/>
        <family val="1"/>
      </rPr>
      <t xml:space="preserve">       </t>
    </r>
    <r>
      <rPr>
        <sz val="9"/>
        <color rgb="FF000000"/>
        <rFont val="Calibri"/>
        <family val="2"/>
      </rPr>
      <t>Identificación, Participación y/o realización de ferias de promoción de los N.V.</t>
    </r>
  </si>
  <si>
    <t>* Nota: De manera consistente con el Indicador de Meta Nacional del Plan Nacional de Desarrollo "Programa Regional de Negocios Verdes". Este incluye en la "Metodología de Medición" la conformación de la ventanilla o nodo de negocios o la realización de alianzas o acuerdos con otras instituciones para la implementación del Programa Regional de Negocios Verdes en la autoridad ambiental. Adicionalmente, la publicación "Metodología para implementar el Programa Regional de Negocios Verdes" incluye el proceso de articulación de actores con el objetivo de iniciar el proceso con la autoridad ambiental y entes territoriales para la conformación de la Ventanilla/Nodo de NV o realización de alianzas o acuerdos con otras instituciones para la implementación del PRNV.</t>
  </si>
  <si>
    <t>El listado anterior es indicativo. Las acciones a ser realizadas por las Corporaciones deben corresponder a las acciones priorizadas en el respectivo PRNV.</t>
  </si>
  <si>
    <r>
      <t xml:space="preserve">IPRVAA </t>
    </r>
    <r>
      <rPr>
        <vertAlign val="subscript"/>
        <sz val="9"/>
        <color rgb="FF000000"/>
        <rFont val="Calibri"/>
        <family val="2"/>
        <scheme val="minor"/>
      </rPr>
      <t>t</t>
    </r>
    <r>
      <rPr>
        <sz val="9"/>
        <color rgb="FF000000"/>
        <rFont val="Calibri"/>
        <family val="2"/>
        <scheme val="minor"/>
      </rPr>
      <t xml:space="preserve"> = Implementación del Programa Regional de Negocios Verdes por la autoridad ambiental, en el tiempo t.</t>
    </r>
  </si>
  <si>
    <r>
      <t xml:space="preserve">EAPRNV </t>
    </r>
    <r>
      <rPr>
        <vertAlign val="subscript"/>
        <sz val="9"/>
        <color rgb="FF000000"/>
        <rFont val="Calibri"/>
        <family val="2"/>
        <scheme val="minor"/>
      </rPr>
      <t>1t</t>
    </r>
    <r>
      <rPr>
        <sz val="9"/>
        <color rgb="FF000000"/>
        <rFont val="Calibri"/>
        <family val="2"/>
        <scheme val="minor"/>
      </rPr>
      <t xml:space="preserve"> = Ejecución de acción 1 relacionada con el Programa Regional de Negocios Verdes, en el tiempo t.</t>
    </r>
  </si>
  <si>
    <r>
      <t xml:space="preserve">EAPRNV </t>
    </r>
    <r>
      <rPr>
        <vertAlign val="subscript"/>
        <sz val="9"/>
        <color rgb="FF000000"/>
        <rFont val="Calibri"/>
        <family val="2"/>
        <scheme val="minor"/>
      </rPr>
      <t>2t</t>
    </r>
    <r>
      <rPr>
        <sz val="9"/>
        <color rgb="FF000000"/>
        <rFont val="Calibri"/>
        <family val="2"/>
        <scheme val="minor"/>
      </rPr>
      <t xml:space="preserve"> = Ejecución de acción 2 relacionada con el Programa Regional de Negocios Verdes, en el tiempo t.</t>
    </r>
  </si>
  <si>
    <r>
      <t xml:space="preserve">EAPRNV </t>
    </r>
    <r>
      <rPr>
        <vertAlign val="subscript"/>
        <sz val="9"/>
        <color rgb="FF000000"/>
        <rFont val="Calibri"/>
        <family val="2"/>
        <scheme val="minor"/>
      </rPr>
      <t>nt</t>
    </r>
    <r>
      <rPr>
        <sz val="9"/>
        <color rgb="FF000000"/>
        <rFont val="Calibri"/>
        <family val="2"/>
        <scheme val="minor"/>
      </rPr>
      <t xml:space="preserve"> = Ejecución de acción N relacionada con el Programa Regional de Negocios Verdes, en el tiempo t.</t>
    </r>
  </si>
  <si>
    <r>
      <t>a = ponderador de EAPRNV</t>
    </r>
    <r>
      <rPr>
        <vertAlign val="subscript"/>
        <sz val="9"/>
        <color rgb="FF000000"/>
        <rFont val="Calibri"/>
        <family val="2"/>
        <scheme val="minor"/>
      </rPr>
      <t>1</t>
    </r>
  </si>
  <si>
    <r>
      <t>b = ponderador de EAPRNV</t>
    </r>
    <r>
      <rPr>
        <vertAlign val="subscript"/>
        <sz val="9"/>
        <color rgb="FF000000"/>
        <rFont val="Calibri"/>
        <family val="2"/>
        <scheme val="minor"/>
      </rPr>
      <t>2</t>
    </r>
  </si>
  <si>
    <r>
      <t>z = ponderador de EAPRNV</t>
    </r>
    <r>
      <rPr>
        <vertAlign val="subscript"/>
        <sz val="9"/>
        <color rgb="FF000000"/>
        <rFont val="Calibri"/>
        <family val="2"/>
        <scheme val="minor"/>
      </rPr>
      <t>n</t>
    </r>
  </si>
  <si>
    <t>a + b + c+…+z = 1</t>
  </si>
  <si>
    <t>Ejecución presupuestal de las acciones relacionadas con la Implementación del Programa Regional de Negocios Verdes por la autoridad ambiental</t>
  </si>
  <si>
    <r>
      <t xml:space="preserve">EAPRNV </t>
    </r>
    <r>
      <rPr>
        <vertAlign val="subscript"/>
        <sz val="9"/>
        <color rgb="FF000000"/>
        <rFont val="Calibri"/>
        <family val="2"/>
        <scheme val="minor"/>
      </rPr>
      <t>i</t>
    </r>
    <r>
      <rPr>
        <sz val="9"/>
        <color rgb="FF000000"/>
        <rFont val="Calibri"/>
        <family val="2"/>
        <scheme val="minor"/>
      </rPr>
      <t xml:space="preserve"> = Ejecución presupuestal de la acción </t>
    </r>
    <r>
      <rPr>
        <i/>
        <sz val="9"/>
        <color rgb="FF000000"/>
        <rFont val="Calibri"/>
        <family val="2"/>
        <scheme val="minor"/>
      </rPr>
      <t>i</t>
    </r>
    <r>
      <rPr>
        <sz val="9"/>
        <color rgb="FF000000"/>
        <rFont val="Calibri"/>
        <family val="2"/>
        <scheme val="minor"/>
      </rPr>
      <t xml:space="preserve"> asociada al Programa Regional de Negocios Verdes por la autoridad ambiental, en el año t.</t>
    </r>
  </si>
  <si>
    <r>
      <t xml:space="preserve">CAPRNV </t>
    </r>
    <r>
      <rPr>
        <vertAlign val="subscript"/>
        <sz val="9"/>
        <color rgb="FF000000"/>
        <rFont val="Calibri"/>
        <family val="2"/>
        <scheme val="minor"/>
      </rPr>
      <t>it</t>
    </r>
    <r>
      <rPr>
        <sz val="9"/>
        <color rgb="FF000000"/>
        <rFont val="Calibri"/>
        <family val="2"/>
        <scheme val="minor"/>
      </rPr>
      <t xml:space="preserve"> = Compromisos correspondientes a la acción i en el marco del Programa Regional de Negocios Verdes, en el año t.</t>
    </r>
  </si>
  <si>
    <r>
      <t xml:space="preserve">PDAPRNV </t>
    </r>
    <r>
      <rPr>
        <vertAlign val="subscript"/>
        <sz val="9"/>
        <color rgb="FF000000"/>
        <rFont val="Calibri"/>
        <family val="2"/>
        <scheme val="minor"/>
      </rPr>
      <t>it</t>
    </r>
    <r>
      <rPr>
        <sz val="9"/>
        <color rgb="FF000000"/>
        <rFont val="Calibri"/>
        <family val="2"/>
        <scheme val="minor"/>
      </rPr>
      <t xml:space="preserve"> = Presupuesto definitivo a la acción i en el marco del Programa Regional de Negocios Verdes, en el año t.</t>
    </r>
  </si>
  <si>
    <t>Número de acciones relacionadas con la implementación del Programa Regional de Negocios Verdes por la autoridad ambiental</t>
  </si>
  <si>
    <t>Presupuesto definitivo</t>
  </si>
  <si>
    <t>Ejecución física y financiera de acciones relacionadas con la implementación del Programa Regional de Negocios Verdes por la autoridad ambiental</t>
  </si>
  <si>
    <t>(*) Nombre de la acción, actividad o proyecto en el Plan de Acción de la Corporación</t>
  </si>
  <si>
    <t>Cálculo de la ejecución física y financiera de acciones relacionadas con la implementación del Programa Regional de Negocios Verdes por la autoridad ambiental</t>
  </si>
  <si>
    <t>Avance Físico</t>
  </si>
  <si>
    <t>Ejecución Anual</t>
  </si>
  <si>
    <t>El indicador hace seguimiento a la contribución de las CAR a la ejecución del Plan Nacional de Negocios Verdes y el Plan Regional de Negocios Verdes. Cuanto más cercano a cien por ciento, mayor es el cumplimiento de las metas, a cargo de la Autoridad Ambiental, en el marco del Plan Nacional de Negocios Verdes y el Plan Regional de Negocios Verdes.</t>
  </si>
  <si>
    <r>
      <t>Hoja Metodológica de referencia:</t>
    </r>
    <r>
      <rPr>
        <sz val="9"/>
        <color rgb="FF000000"/>
        <rFont val="Calibri"/>
        <family val="2"/>
        <scheme val="minor"/>
      </rPr>
      <t xml:space="preserve"> MADS (2016). </t>
    </r>
    <r>
      <rPr>
        <i/>
        <sz val="9"/>
        <color rgb="FF000000"/>
        <rFont val="Calibri"/>
        <family val="2"/>
        <scheme val="minor"/>
      </rPr>
      <t>Hoja metodológica Implementación del programa regional de negocios verdes por la autoridad ambiental (Versión 1.0).</t>
    </r>
    <r>
      <rPr>
        <sz val="9"/>
        <color rgb="FF000000"/>
        <rFont val="Calibri"/>
        <family val="2"/>
        <scheme val="minor"/>
      </rPr>
      <t xml:space="preserve"> Ministerio de Ambiente y Desarrollo Sostenible MADS, DGOAT-SINA y ONV.</t>
    </r>
  </si>
  <si>
    <t>Tiempo promedio de trámite para la resolución de autorizaciones ambientales otorgadas por la corporación</t>
  </si>
  <si>
    <t>El tiempo promedio de trámite o procedimiento para la resolución de autorizaciones ambientales otorgadas por las autoridades ambientales es el resultado de la suma de los tiempos de cada trámite (licencias ambientales, concesiones de agua, permisos de aprovechamiento forestal, permisos de emisiones atmosféricas y permisos de vertimiento de agua), dividido en el número de trámites resueltos por la autoridad ambiental.</t>
  </si>
  <si>
    <t xml:space="preserve">Se entiende por tiempo efectivo, el periodo de tiempo en días que dura el proceso en manos de la Corporación, que resulta de descontar del tiempo total desde la radicación de la solicitud hasta la manifestación final de la autoridad ambiental, descontado el tiempo utilizado por el peticionario para atender los actos de trámites expedidos en el proceso. </t>
  </si>
  <si>
    <t>El indicador mide los cambios en la eficiencia por parte de la autoridad ambiental en la resolución de las solicitudes de autorizaciones ambientales (licencias ambientales, concesiones de agua, permisos de aprovechamiento forestal, permisos de emisiones atmosféricas y permisos de vertimiento de agua).</t>
  </si>
  <si>
    <t>Resolución 2202 de 2006.</t>
  </si>
  <si>
    <t>Licencias ambientales: Decreto 1076 de 2015</t>
  </si>
  <si>
    <t>Concesiones de agua: Decreto Ley 2811 de 1974, Decreto 1076 de 2015</t>
  </si>
  <si>
    <t>Permisos de vertimiento de agua: Decreto Ley 2811 de 1974, Decreto 1076 de 2015.</t>
  </si>
  <si>
    <t>Permisos de emisión: Decreto Ley 2811 de 1974, Decreto 1076 de 2015, Resolución 619 de 1997 y sus modificaciones, Resolución 909 de 2008 y sus modificaciones.</t>
  </si>
  <si>
    <t>Permisos de aprovechamiento forestal: Decreto Ley 2811 de 1974, Decreto 1076 de 2015, entre otros.</t>
  </si>
  <si>
    <r>
      <t>Las autorizaciones administrativas son un acto administrativo cualquiera que sea su denominación específica, por el cual en uso de una potestad de intervención legalmente atribuida a la Administración, se permite a los particulares el ejercicio de una actividad privada, previa comprobación de su adecuación al ordenamiento jurídico y valoración del interés afectado</t>
    </r>
    <r>
      <rPr>
        <i/>
        <sz val="9"/>
        <color rgb="FF000000"/>
        <rFont val="Calibri"/>
        <family val="2"/>
        <scheme val="minor"/>
      </rPr>
      <t xml:space="preserve">, </t>
    </r>
    <r>
      <rPr>
        <sz val="9"/>
        <color rgb="FF000000"/>
        <rFont val="Calibri"/>
        <family val="2"/>
        <scheme val="minor"/>
      </rPr>
      <t>las cuales en el caso ambiental se traducen en permisos, concesiones, asociaciones y licencias ambientales que permiten el uso, utilización o aprovechamiento de los recursos naturales renovables o la ejecución de proyectos, obras o actividades que puedan producir deterioro grave a los recursos naturales renovables o al medio ambiente o introducir modificaciones considerables o notorias al paisaje.</t>
    </r>
  </si>
  <si>
    <t>A manera de ejemplo encontramos: concesiones de agua, permisos para la exploración y ocupación de cauces, playas y lechos, permisos de aprovechamiento forestal, permiso de emisiones atmosféricas y otros.</t>
  </si>
  <si>
    <t>La Ley 99 de 1993 en su artículo 70 establece como todo trámite ambiental requiere auto de iniciación para comenzar la evaluación hasta la fecha de emisión del acto administrativo definitivo que resuelve la solicitud.</t>
  </si>
  <si>
    <t>Sin embargo, cada autorización administrativa posee un procedimiento propio. El tiempo promedio de trámite para la evaluación de las licencias ambientales, permisos y autorizaciones otorgadas por las autoridades ambientales, se refiere al tiempo efectivo utilizado por la Corporación para manifestarse de manera positiva o negativa sobre la solicitud de licenciamiento o aprovechamiento de recursos, a partir de la fecha de radicación de la solicitud.</t>
  </si>
  <si>
    <t>Se debe entender como tiempo efectivo, el periodo de tiempo en días que dura el proceso en manos de la autoridad ambiental, que resulta de descontar del tiempo total desde la radicación de la solicitud hasta la manifestación final de la autoridad ambiental, descontado el tiempo utilizado por el peticionario para atender los actos de trámites expedidos en el proceso. En los casos de audiencias Públicas o consultas previas también se suspenden términos, los cuales se descuentan del tiempo efectivo de la evaluación.</t>
  </si>
  <si>
    <t xml:space="preserve">En el cálculo de las Solicitudes con vencimiento de términos dentro del periodo de reporte (Denominador del indicador), no se contabilizan las solicitudes que debieron ser resueltas en periodos de reporte anteriores, o que se resuelven antes de términos en los periodos anteriores del periodo de reporte. </t>
  </si>
  <si>
    <t>De igual forma, se aplicará la misma lógica para las solicitudes de concesiones de agua, permisos de aprovechamiento forestal, emisiones atmosféricas y permisos de vertimiento.</t>
  </si>
  <si>
    <t>Tx: Tiempo promedio efectivo de duración del trámite x.</t>
  </si>
  <si>
    <t>Ti: Tiempo de duración de cada trámite i en la categoría x.</t>
  </si>
  <si>
    <t>x = Licencias ambientales, concesiones de agua, permisos de aprovechamiento forestal, permisos de emisiones atmosféricas y permisos de vertimiento de agua.</t>
  </si>
  <si>
    <t>n: Número de trámites atendidos de cada una de las categorías analizadas (Licencia ambiental, concesión de agua, permiso de vertimiento de agua, aprovechamiento forestal, permiso de emisión).</t>
  </si>
  <si>
    <r>
      <t>Definición de las variables del indicador</t>
    </r>
    <r>
      <rPr>
        <sz val="9"/>
        <color rgb="FF000000"/>
        <rFont val="Calibri"/>
        <family val="2"/>
        <scheme val="minor"/>
      </rPr>
      <t>: Los procesos a analizar corresponderán a los trámites más comunes que se adelantan ante la autoridad ambiental, determinando su tiempo de duración así:</t>
    </r>
  </si>
  <si>
    <t>TL.A. = Tiempo efectivo de duración del trámite de otorgamiento de licencias ambientales</t>
  </si>
  <si>
    <t>TC.A. = Tiempo efectivo de duración del trámite de otorgamiento de una concesión de agua</t>
  </si>
  <si>
    <t>T.P.V. = Tiempo efectivo de duración del trámite de otorgamiento de un permiso de vertimiento</t>
  </si>
  <si>
    <t>T.A.F. = Tiempo efectivo de duración del trámite de otorgamiento de un aprovechamiento Forestal</t>
  </si>
  <si>
    <t xml:space="preserve">T.P.E. = Tiempo efectivo de duración del trámite de otorgamiento de un permiso de emisión </t>
  </si>
  <si>
    <t>Licencias ambientales</t>
  </si>
  <si>
    <t>TL.A. Tiempo efectivo de duración del trámite de otorgamiento de licencias ambientales (número de días)</t>
  </si>
  <si>
    <t xml:space="preserve">N L.A.: Número de solicitudes de licencia ambiental atendidos </t>
  </si>
  <si>
    <t>Tx L.A. Tiempo promedio efectivo de duración del trámite de licencias ambientales</t>
  </si>
  <si>
    <t>Concesiones de agua</t>
  </si>
  <si>
    <t xml:space="preserve">N C.A.S.: Número de solicitudes de concesión de agua recibidas en el periodo. </t>
  </si>
  <si>
    <t>Tx C.A.S. Tiempo promedio efectivo de duración del trámite de Concesiones de Agua.</t>
  </si>
  <si>
    <t>Permisos de vertimiento de agua</t>
  </si>
  <si>
    <t>TP.V. Tiempo efectivo de duración del trámite de otorgamiento de un permiso de vertimiento (número de días)</t>
  </si>
  <si>
    <t>N P.V.: Número de solicitudes de permisos de vertimiento recibidas en el periodo.</t>
  </si>
  <si>
    <t>Tx P.V. Tiempo promedio efectivo de duración del trámite de otorgamiento de un permiso de vertimiento.</t>
  </si>
  <si>
    <t>Permisos de aprovechamiento forestal</t>
  </si>
  <si>
    <t>N A.F. Número de solicitudes de permisos de aprovechamiento forestal recibidas en el periodo</t>
  </si>
  <si>
    <t xml:space="preserve">Tx A.F. Tiempo promedio efectivo de duración del trámite de otorgamiento de un permiso de aprovechamiento forestal </t>
  </si>
  <si>
    <t>Permisos de emisiones atmosféricas</t>
  </si>
  <si>
    <t xml:space="preserve">TP.E. Tiempo efectivo de duración del trámite de otorgamiento de un permiso de emisión (número de días) </t>
  </si>
  <si>
    <t>N P.E. Número de solicitudes de permisos de emisiones atmosféricas recibidas en el periodo</t>
  </si>
  <si>
    <t>Tx P.E. Tiempo promedio efectivo de duración del trámite de otorgamiento de un permiso de emisión</t>
  </si>
  <si>
    <t>Cuanto menor sea el tiempo promedio, teniendo como referencia los tiempos establecidos en la normativa, mayor es el cumplimiento por parte de la autoridad ambiental en la eficiencia en la resolución de las solicitudes de autorizaciones ambientales (licencias ambientales, concesiones de agua, permisos de aprovechamiento forestal, permisos de emisiones atmosféricas y permisos de vertimiento de agua).</t>
  </si>
  <si>
    <r>
      <t>Hoja Metodológica de referencia:</t>
    </r>
    <r>
      <rPr>
        <sz val="9"/>
        <color rgb="FF000000"/>
        <rFont val="Calibri"/>
        <family val="2"/>
        <scheme val="minor"/>
      </rPr>
      <t xml:space="preserve"> MADS (2016). </t>
    </r>
    <r>
      <rPr>
        <b/>
        <i/>
        <sz val="9"/>
        <color rgb="FF000000"/>
        <rFont val="Calibri"/>
        <family val="2"/>
        <scheme val="minor"/>
      </rPr>
      <t>Tiempo promedio de trámite para la resolución de autorizaciones ambientales otorgadas por la corporación</t>
    </r>
    <r>
      <rPr>
        <i/>
        <sz val="9"/>
        <color rgb="FF000000"/>
        <rFont val="Calibri"/>
        <family val="2"/>
        <scheme val="minor"/>
      </rPr>
      <t xml:space="preserve"> (Versión 1.0).</t>
    </r>
    <r>
      <rPr>
        <sz val="9"/>
        <color rgb="FF000000"/>
        <rFont val="Calibri"/>
        <family val="2"/>
        <scheme val="minor"/>
      </rPr>
      <t xml:space="preserve"> Ministerio de Ambiente y Desarrollo Sostenible MADS, DGOAT-SINA.</t>
    </r>
  </si>
  <si>
    <t>Porcentaje de autorizaciones ambientales con seguimiento</t>
  </si>
  <si>
    <t xml:space="preserve"> </t>
  </si>
  <si>
    <t>Es la relación entre el número de Autorizaciones ambientales con seguimiento con respecto a la meta de seguimiento de dichas autorizaciones por parte de la autoridad ambiental.</t>
  </si>
  <si>
    <t>El indicador mide el cumplimiento de las metas que la autoridad ambiental se ha propuesto alcanzar en relación con el seguimiento a las autorizaciones ambientales (Licencias ambientales, concesiones de agua, permisos de aprovechamiento forestal, permisos de emisiones atmosféricas y permisos de vertimiento de agua).</t>
  </si>
  <si>
    <t>Resolución 619 de 1997 modificada por la Res 1377 de 2015 y Resolución 909 de 2008 y sus modificaciones.</t>
  </si>
  <si>
    <r>
      <t>Las autorizaciones administrativas son</t>
    </r>
    <r>
      <rPr>
        <i/>
        <sz val="9"/>
        <color rgb="FF000000"/>
        <rFont val="Calibri"/>
        <family val="2"/>
        <scheme val="minor"/>
      </rPr>
      <t xml:space="preserve"> </t>
    </r>
    <r>
      <rPr>
        <sz val="9"/>
        <color rgb="FF000000"/>
        <rFont val="Calibri"/>
        <family val="2"/>
        <scheme val="minor"/>
      </rPr>
      <t>un acto administrativo cualquiera que sea su denominación específica, por el cual en uso de una potestad de intervención legalmente atribuida a la Administración, se permite a los particulares el ejercicio de una actividad privada, previa comprobación de su adecuación al ordenamiento jurídico y valoración del interés afectado</t>
    </r>
    <r>
      <rPr>
        <i/>
        <sz val="9"/>
        <color rgb="FF000000"/>
        <rFont val="Calibri"/>
        <family val="2"/>
        <scheme val="minor"/>
      </rPr>
      <t xml:space="preserve">, </t>
    </r>
    <r>
      <rPr>
        <sz val="9"/>
        <color rgb="FF000000"/>
        <rFont val="Calibri"/>
        <family val="2"/>
        <scheme val="minor"/>
      </rPr>
      <t>las cuales en el caso ambiental se traducen en permisos, concesiones, asociaciones y licencias ambientales que permiten el uso, utilización o aprovechamiento de los recursos naturales renovables o la ejecución de proyectos, obras o actividades que puedan producir deterioro grave a los recursos naturales renovables o al medio ambiente o introducir modificaciones considerables o notorias al paisaje. A manera de ejemplo encontramos: concesiones de agua, permisos para la exploración y ocupación de cauces, playas y lechos, permisos de aprovechamiento forestal, permiso de emisiones atmosféricas y otros.</t>
    </r>
  </si>
  <si>
    <t>Una vez otorgadas las autorizaciones administrativas corresponde a la autoridad ambiental realizar su respectivo seguimiento. A manera de ejemplo en licencias ambientales la autoridad ambiental define una priorización de los sectores y/o de los proyectos, obras o actividades licenciados, durante su construcción, operación, desmantelamiento o abandono, que son objeto de control y seguimiento. Esto con el fin de: 1. Verificar la implementación del Plan de Manejo Ambiental, seguimiento y monitoreo, y de contingencia, así como la eficiencia y eficacia de las medidas de manejo implementadas; 2. Constatar y exigir el cumplimiento de todos los términos, obligaciones y condiciones que se deriven de la licencia ambiental o Plan de Manejo Ambiental; 3. Corroborar cómo es el comportamiento real del medio ambiente y de los recursos naturales frente al desarrollo del proyecto; y 4. Evaluar el desempeño ambiental considerando las medidas de manejo establecidas para controlar los impactos ambientales.</t>
  </si>
  <si>
    <t>En el desarrollo de dicha gestión, la autoridad ambiental puede realizar entre otras actividades, visitas al lugar donde se desarrolla el proyecto, hacer requerimientos de información, corroborar, técnicamente o a través de pruebas, los resultados de los monitoreos realizados por el beneficiario de la licencia.</t>
  </si>
  <si>
    <t>Así mismo, para las concesiones de agua, los permisos de aprovechamiento forestal, las emisiones atmosféricas y los permisos de vertimiento de agua, la Corporación una meta cuatrienal y para cada una de las vigencias.</t>
  </si>
  <si>
    <r>
      <t xml:space="preserve">PTAACS </t>
    </r>
    <r>
      <rPr>
        <vertAlign val="subscript"/>
        <sz val="9"/>
        <color rgb="FF000000"/>
        <rFont val="Calibri"/>
        <family val="2"/>
        <scheme val="minor"/>
      </rPr>
      <t>t</t>
    </r>
    <r>
      <rPr>
        <sz val="9"/>
        <color rgb="FF000000"/>
        <rFont val="Calibri"/>
        <family val="2"/>
        <scheme val="minor"/>
      </rPr>
      <t xml:space="preserve"> = Porcentaje total de autorizaciones ambientales con seguimiento, en el tiempo t.</t>
    </r>
  </si>
  <si>
    <r>
      <t xml:space="preserve">PAACS </t>
    </r>
    <r>
      <rPr>
        <vertAlign val="subscript"/>
        <sz val="9"/>
        <color rgb="FF000000"/>
        <rFont val="Calibri"/>
        <family val="2"/>
        <scheme val="minor"/>
      </rPr>
      <t>i</t>
    </r>
    <r>
      <rPr>
        <sz val="9"/>
        <color rgb="FF000000"/>
        <rFont val="Calibri"/>
        <family val="2"/>
        <scheme val="minor"/>
      </rPr>
      <t xml:space="preserve"> = Porcentaje de la autorización ambiental </t>
    </r>
    <r>
      <rPr>
        <i/>
        <sz val="9"/>
        <color rgb="FF000000"/>
        <rFont val="Calibri"/>
        <family val="2"/>
        <scheme val="minor"/>
      </rPr>
      <t>i</t>
    </r>
    <r>
      <rPr>
        <sz val="9"/>
        <color rgb="FF000000"/>
        <rFont val="Calibri"/>
        <family val="2"/>
        <scheme val="minor"/>
      </rPr>
      <t xml:space="preserve"> con seguimiento, en el tiempo t.</t>
    </r>
  </si>
  <si>
    <t>i = Licencias ambientales, concesiones de agua, permisos de aprovechamiento forestal, permisos de emisiones atmosféricas y permisos de vertimiento de agua.</t>
  </si>
  <si>
    <r>
      <t>a</t>
    </r>
    <r>
      <rPr>
        <vertAlign val="subscript"/>
        <sz val="9"/>
        <color rgb="FF000000"/>
        <rFont val="Calibri"/>
        <family val="2"/>
        <scheme val="minor"/>
      </rPr>
      <t xml:space="preserve">i = </t>
    </r>
    <r>
      <rPr>
        <sz val="9"/>
        <color rgb="FF000000"/>
        <rFont val="Calibri"/>
        <family val="2"/>
        <scheme val="minor"/>
      </rPr>
      <t>Ponderación correspondiente a cada autorización ambiental (licencias ambientales, las concesiones de agua, los permisos de aprovechamiento forestal, los permisos de emisiones atmosféricas y los permisos de vertimiento de agua y PSMV). La suma de los ponderadores es igual a 1.</t>
    </r>
  </si>
  <si>
    <t>Porcentaje de seguimiento de cada autorización ambiental</t>
  </si>
  <si>
    <r>
      <t xml:space="preserve">PAACS </t>
    </r>
    <r>
      <rPr>
        <vertAlign val="subscript"/>
        <sz val="9"/>
        <color rgb="FF000000"/>
        <rFont val="Calibri"/>
        <family val="2"/>
        <scheme val="minor"/>
      </rPr>
      <t>it</t>
    </r>
    <r>
      <rPr>
        <sz val="9"/>
        <color rgb="FF000000"/>
        <rFont val="Calibri"/>
        <family val="2"/>
        <scheme val="minor"/>
      </rPr>
      <t xml:space="preserve"> = Porcentaje de la autorización ambiental </t>
    </r>
    <r>
      <rPr>
        <i/>
        <sz val="9"/>
        <color rgb="FF000000"/>
        <rFont val="Calibri"/>
        <family val="2"/>
        <scheme val="minor"/>
      </rPr>
      <t>i</t>
    </r>
    <r>
      <rPr>
        <sz val="9"/>
        <color rgb="FF000000"/>
        <rFont val="Calibri"/>
        <family val="2"/>
        <scheme val="minor"/>
      </rPr>
      <t xml:space="preserve"> con seguimiento, en el tiempo t.</t>
    </r>
  </si>
  <si>
    <r>
      <t xml:space="preserve">AACS </t>
    </r>
    <r>
      <rPr>
        <vertAlign val="subscript"/>
        <sz val="9"/>
        <color rgb="FF000000"/>
        <rFont val="Calibri"/>
        <family val="2"/>
        <scheme val="minor"/>
      </rPr>
      <t>it</t>
    </r>
    <r>
      <rPr>
        <sz val="9"/>
        <color rgb="FF000000"/>
        <rFont val="Calibri"/>
        <family val="2"/>
        <scheme val="minor"/>
      </rPr>
      <t xml:space="preserve"> = Número de autorizaciones ambientales</t>
    </r>
    <r>
      <rPr>
        <i/>
        <sz val="9"/>
        <color rgb="FF000000"/>
        <rFont val="Calibri"/>
        <family val="2"/>
        <scheme val="minor"/>
      </rPr>
      <t xml:space="preserve"> i</t>
    </r>
    <r>
      <rPr>
        <sz val="9"/>
        <color rgb="FF000000"/>
        <rFont val="Calibri"/>
        <family val="2"/>
        <scheme val="minor"/>
      </rPr>
      <t xml:space="preserve"> con seguimiento, en el tiempo t.</t>
    </r>
  </si>
  <si>
    <r>
      <t xml:space="preserve">MAACS </t>
    </r>
    <r>
      <rPr>
        <vertAlign val="subscript"/>
        <sz val="9"/>
        <color rgb="FF000000"/>
        <rFont val="Calibri"/>
        <family val="2"/>
        <scheme val="minor"/>
      </rPr>
      <t>it</t>
    </r>
    <r>
      <rPr>
        <sz val="9"/>
        <color rgb="FF000000"/>
        <rFont val="Calibri"/>
        <family val="2"/>
        <scheme val="minor"/>
      </rPr>
      <t xml:space="preserve"> = Meta de autorizaciones ambientales </t>
    </r>
    <r>
      <rPr>
        <i/>
        <sz val="9"/>
        <color rgb="FF000000"/>
        <rFont val="Calibri"/>
        <family val="2"/>
        <scheme val="minor"/>
      </rPr>
      <t>i</t>
    </r>
    <r>
      <rPr>
        <sz val="9"/>
        <color rgb="FF000000"/>
        <rFont val="Calibri"/>
        <family val="2"/>
        <scheme val="minor"/>
      </rPr>
      <t xml:space="preserve"> con seguimiento, en el tiempo t.</t>
    </r>
  </si>
  <si>
    <t>La meta de número de autorizaciones ambientales sujetos a seguimiento es establecida por la Corporación tanto para el cuatrienio como para cada una de las vigencias.</t>
  </si>
  <si>
    <t>Seguimiento de licencias ambientales</t>
  </si>
  <si>
    <t>Número total de licencias ambientales priorizadas por la Corporación para hacer seguimiento en el cuatrienio:</t>
  </si>
  <si>
    <t>Meta de licencias ambientales con seguimiento (MLACS)</t>
  </si>
  <si>
    <t>Número de licencias ambientales con seguimiento (LACS)</t>
  </si>
  <si>
    <t>Porcentaje de licencias ambientales con seguimiento (PLACS)</t>
  </si>
  <si>
    <t>Detalle de seguimiento a licencias ambientales en la vigencia</t>
  </si>
  <si>
    <t>Sector</t>
  </si>
  <si>
    <t>Número de licencias por sector</t>
  </si>
  <si>
    <t>Número de expedientes activos</t>
  </si>
  <si>
    <t>Meta de seguimiento (número)</t>
  </si>
  <si>
    <t>Licencias con seguimiento</t>
  </si>
  <si>
    <t>(número)</t>
  </si>
  <si>
    <t>Seguimiento de concesiones de agua</t>
  </si>
  <si>
    <t>Valor</t>
  </si>
  <si>
    <t>Seguimiento de concesiones de agua (número)</t>
  </si>
  <si>
    <t>Meta de número de concesiones de agua con seguimiento (MCACS)</t>
  </si>
  <si>
    <t>Número de concesiones de agua con seguimiento (CACS)</t>
  </si>
  <si>
    <t>Porcentaje de concesiones de agua con seguimiento (PCACS)</t>
  </si>
  <si>
    <t>Seguimiento de concesiones de agua (metros cúbicos / segundo)</t>
  </si>
  <si>
    <t>Meta de concesiones de agua con seguimiento (MCACSMC)</t>
  </si>
  <si>
    <t>Concesiones de agua con seguimiento (CACSMC)</t>
  </si>
  <si>
    <t>Porcentaje de concesiones de agua con seguimiento (PCACSMC)</t>
  </si>
  <si>
    <t>Seguimiento de permisos de vertimiento de agua (número)</t>
  </si>
  <si>
    <t>Meta de número de permisos de vertimiento de agua con seguimiento (MVACS)</t>
  </si>
  <si>
    <t>Número de permisos de vertimiento de agua con seguimiento (VACS)</t>
  </si>
  <si>
    <t>Porcentaje de permisos de vertimiento de agua con seguimiento (PVACS)</t>
  </si>
  <si>
    <t>Seguimiento de permisos de vertimiento de agua (metros cúbicos / segundo) y PSMV</t>
  </si>
  <si>
    <t>Meta de permisos de vertimiento de agua con seguimiento (MVACSMC)</t>
  </si>
  <si>
    <t>Permisos de vertimiento de agua con seguimiento (VACSMC)</t>
  </si>
  <si>
    <t>Porcentaje de permisos de vertimiento de agua con seguimiento (PVACSMC)</t>
  </si>
  <si>
    <t>Seguimiento de permisos de aprovechamiento forestal</t>
  </si>
  <si>
    <t>Seguimiento de permisos de aprovechamiento forestal (número)</t>
  </si>
  <si>
    <t>Meta de número de permisos de aprovechamiento forestal con seguimiento (MPAFCS)</t>
  </si>
  <si>
    <t>Número de permisos de aprovechamiento forestal con seguimiento (PAFCS)</t>
  </si>
  <si>
    <t>Porcentaje de permisos de aprovechamiento forestal con seguimiento (PPAFCS)</t>
  </si>
  <si>
    <t>Seguimiento de permisos de aprovechamiento forestal (metros cúbicos)</t>
  </si>
  <si>
    <t>Meta de permisos de aprovechamiento forestal con seguimiento (MPACFSMC)</t>
  </si>
  <si>
    <t>Permisos de aprovechamiento forestal con seguimiento (PAFCSMC)</t>
  </si>
  <si>
    <t>Porcentaje de permisos de aprovechamiento forestal con seguimiento (PPAFCSMC)</t>
  </si>
  <si>
    <t>Seguimiento de permisos de emisiones atmosféricas</t>
  </si>
  <si>
    <t>Seguimiento de permisos de emisiones atmosféricas (número)</t>
  </si>
  <si>
    <t>Meta de número de permisos de emisiones atmosféricas con seguimiento (MPEACS)</t>
  </si>
  <si>
    <t>Número de permisos de emisiones atmosféricas con seguimiento (EACS)</t>
  </si>
  <si>
    <t>Porcentaje de permisos de emisiones atmosféricas con seguimiento (PEACS)</t>
  </si>
  <si>
    <t>Cuanto más cercano a cien por ciento, mayor es el cumplimiento de las metas que la autoridad ambiental se ha propuesto alcanzar en relación con el seguimiento a las autorizaciones ambientales (licencias ambientales, concesiones de agua, aprovechamiento forestal, emisiones atmosféricas y permisos de vertimiento).</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</si>
  <si>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autorizaciones ambientales con seguimiento (Versión 1.0).</t>
    </r>
    <r>
      <rPr>
        <sz val="9"/>
        <color rgb="FF000000"/>
        <rFont val="Calibri"/>
        <family val="2"/>
        <scheme val="minor"/>
      </rPr>
      <t xml:space="preserve"> Ministerio de Ambiente y Desarrollo Sostenible, DGOAT-SINA.</t>
    </r>
  </si>
  <si>
    <t>Porcentaje de Procesos Sancionatorios Resueltos</t>
  </si>
  <si>
    <t>Es la relación entre el número de actos administrativos de determinación de la responsabilidad o de cesación de procedimiento expedidos, con respecto al número de actos administrativos de iniciación de procedimiento sancionatorio expedidos por la autoridad ambiental.</t>
  </si>
  <si>
    <r>
      <t>E</t>
    </r>
    <r>
      <rPr>
        <sz val="9"/>
        <color rgb="FF000000"/>
        <rFont val="Calibri"/>
        <family val="2"/>
        <scheme val="minor"/>
      </rPr>
      <t>l indicador mide el cumplimiento por parte de la autoridad ambiental en la gestión de los procesos sancionatorios abiertos, con relación a la ocurrencia de infracciones en materia ambiental en su jurisdicción.</t>
    </r>
  </si>
  <si>
    <t>Ley 99 de 1993, Ley Marco del Medio Ambiente</t>
  </si>
  <si>
    <t>Ley 1333 de 2009, Procedimiento sancionatorio ambiental</t>
  </si>
  <si>
    <t>La autoridad ambiental está en la obligación de establecer la ocurrencia o no de presuntas infracciones ambientales y de determinar la existencia o no de responsabilidad, y en caso afirmativo, sancionar a los responsables de manera oportuna, de tal manera que se garantice el cumplimiento de la normatividad ambiental vigente en las respectivas jurisdicciones de las autoridades ambientales.</t>
  </si>
  <si>
    <t>De conformidad con lo establecido en el artículo 5° de la Ley 1333 de 2009, se considera infracción en materia ambiental “toda acción u omisión que constituya violación de las normas contenidas en el Código de Recursos Naturales Renovables, Decreto-ley 2811 de 1974, en la Ley 99 de 1993, en la Ley 165 de 1994 y en las demás disposiciones ambientales vigentes en que las sustituyan o modifiquen y en los actos administrativos emanados de la autoridad ambiental competente. Será también constitutivo de infracción ambiental la comisión de un daño al medio ambiente, con las mismas condiciones que para configurar la responsabilidad civil extracontractual establece el Código Civil y la legislación complementaria, a saber: El daño, el hecho generador con culpa o dolo y el vínculo causal entre los dos. Cuando estos elementos se configuren darán lugar a una sanción administrativa ambiental, sin perjuicio de la responsabilidad que para terceros pueda generar el hecho en materia civil”.</t>
  </si>
  <si>
    <t>El acto administrativo de iniciación, es el acto mediante el cual se ordena el inicio del procedimiento sancionatorio para verificar los hechos u omisiones constitutivas de infracción a las normas ambientales, de conformidad con el art. 18 de la Ley 1333 de 2009.</t>
  </si>
  <si>
    <t>Cuando aparezca plenamente demostrada alguna de las causales de cesación del procedimiento, se expide un acto administrativo en tal sentido, de conformidad con el artículo 23 de la Ley 1333 de 2009.</t>
  </si>
  <si>
    <t>El acto administrativo de determinación de responsabilidad, es el acto mediante el cual se declara o no la responsabilidad del infractor por violación de la norma ambiental.</t>
  </si>
  <si>
    <r>
      <t xml:space="preserve">PPSR </t>
    </r>
    <r>
      <rPr>
        <vertAlign val="subscript"/>
        <sz val="9"/>
        <color rgb="FF000000"/>
        <rFont val="Calibri"/>
        <family val="2"/>
        <scheme val="minor"/>
      </rPr>
      <t>t</t>
    </r>
    <r>
      <rPr>
        <sz val="9"/>
        <color rgb="FF000000"/>
        <rFont val="Calibri"/>
        <family val="2"/>
        <scheme val="minor"/>
      </rPr>
      <t xml:space="preserve"> = Porcentaje de Procesos Sancionatorios Resueltos, en el tiempo t.</t>
    </r>
  </si>
  <si>
    <r>
      <t xml:space="preserve">ADR </t>
    </r>
    <r>
      <rPr>
        <vertAlign val="subscript"/>
        <sz val="9"/>
        <color rgb="FF000000"/>
        <rFont val="Calibri"/>
        <family val="2"/>
        <scheme val="minor"/>
      </rPr>
      <t>t</t>
    </r>
    <r>
      <rPr>
        <sz val="9"/>
        <color rgb="FF000000"/>
        <rFont val="Calibri"/>
        <family val="2"/>
        <scheme val="minor"/>
      </rPr>
      <t xml:space="preserve"> = Número de actos administrativos de determinación de la responsabilidad expedidos, en el tiempo t.</t>
    </r>
  </si>
  <si>
    <r>
      <t xml:space="preserve">ACP </t>
    </r>
    <r>
      <rPr>
        <vertAlign val="subscript"/>
        <sz val="9"/>
        <color rgb="FF000000"/>
        <rFont val="Calibri"/>
        <family val="2"/>
        <scheme val="minor"/>
      </rPr>
      <t>t</t>
    </r>
    <r>
      <rPr>
        <sz val="9"/>
        <color rgb="FF000000"/>
        <rFont val="Calibri"/>
        <family val="2"/>
        <scheme val="minor"/>
      </rPr>
      <t xml:space="preserve"> = Número de actos administrativos de cesación de procedimiento expedidos, en el tiempo t.</t>
    </r>
  </si>
  <si>
    <t>AIPS = Número de actos administrativos de iniciación de procedimiento sancionatorio expedidos.</t>
  </si>
  <si>
    <t>La variable AIPS comprende el total de los actos administrativos de iniciación de procedimiento sancionatorio expedidos en la vigencia respectiva, más los actos administrativos de iniciación de procedimiento cuyo proceso sancionatorio que se encuentre sin acto administrativo de determinación de la responsabilidad o de cesación de procedimiento expedido, a 31 de diciembre de la vigencia anterior.</t>
  </si>
  <si>
    <t>Número de actos administrativos de iniciación de procedimiento sancionatorio expedidos (AIPS)</t>
  </si>
  <si>
    <t>Número de actos administrativos de determinación de la responsabilidad expedidos en la vigencia (ADR)</t>
  </si>
  <si>
    <t>Número de actos administrativos de cesación de procedimiento expedidos en la vigencia (ACP)</t>
  </si>
  <si>
    <t>Porcentaje de Procesos Sancionatorios Resueltos (PPSR)</t>
  </si>
  <si>
    <t>Cuanto más cercano a cien por ciento, mayor es el cumplimiento por parte de la autoridad ambiental de su función de adelantar los procesos sancionatorios por la comisión de infracciones en materia ambiental.</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</si>
  <si>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Procesos Sancionatorios Resueltos (Versión 1.0).</t>
    </r>
    <r>
      <rPr>
        <sz val="9"/>
        <color rgb="FF000000"/>
        <rFont val="Calibri"/>
        <family val="2"/>
        <scheme val="minor"/>
      </rPr>
      <t xml:space="preserve"> Ministerio de Ambiente y Desarrollo Sostenible, DGOAT-SINA.</t>
    </r>
  </si>
  <si>
    <t>Porcentaje de municipios asesorados o asistidos en la inclusión del componente ambiental en los procesos de planificación y ordenamiento territorial, con énfasis en la incorporación de las determinantes ambientales para la revisión y ajuste de los POT</t>
  </si>
  <si>
    <t>Es la relación entre el número de municipios asesorados o asistidos en temas relacionados con la inclusión del componente ambiental en los procesos de planificación y ordenamiento territorial, con énfasis en la incorporación de las determinantes ambientales para la revisión y ajuste de los POT, con respecto a la meta de municipios a ser asesorados en dicha incorporación.</t>
  </si>
  <si>
    <t>El indicador mide el cumplimiento de las metas establecidas, por parte de la Corporación Autónoma Regional, en relación con la asesoría a los municipios en la inclusión del componente ambiental en los procesos de planificación y ordenamiento territorial, con énfasis en la incorporación de las determinantes ambientales en la actualización o revisión de los planes de ordenamiento territorial. (Incluye POT, PBOT, EOT)</t>
  </si>
  <si>
    <t>Ley 99 de 1993, Ley Marco del Medio Ambiente. artículo 31, Numerales 4) , 5) y 29) en cuanto a funciones de las CAR (Coordinar el proceso de preparación de los planes, programas y proyectos de desarrollo medioambiental que deban formular los diferentes organismos y entidades integrantes del Sistema Nacional Ambiental (SINA) en el área de su jurisdicción y en especial, asesorar a los Departamentos, Distritos y Municipios de su comprensión territorial en la definición de los planes de desarrollo ambiental y en sus programas y proyectos en materia de protección del medio ambiente y los recursos naturales renovables, de manera que se asegure la armonía y coherencia de las políticas y acciones adoptadas por las distintas entidades territoriales; Participar con los demás organismos y entes competentes en el ámbito de su jurisdicción, en los procesos de planificación y ordenamiento territorial a fin de que el factor ambiental sea tenido en cuenta en las decisiones que se adopten; y Apoyar a los concejos municipales, a las asambleas departamentales y a los consejos de las entidades territoriales indígenas en las funciones de planificación que les otorga la Constitución Nacional).</t>
  </si>
  <si>
    <t>Ley 388 de 1997, Planes de Ordenamiento Territorial. Artículo 10, numeral 1) Determinantes de los planes de ordenamiento territorial. En la elaboración y adopción de sus planes de ordenamiento territorial los municipios y distritos deberán tener en cuenta las siguientes determinantes, que constituyen normas de superior jerarquía, en sus propios ámbitos de competencia, de acuerdo con la Constitución y las leyes: 1.) Las relacionadas con la conservación y protección del medio ambiente, los recursos naturales la prevención de amenazas y riesgos naturales; Artículo 24) Instancias de concertación y consulta. El alcalde distrital o municipal, a través de las oficinas de planeación o de la dependencia que haga sus veces, será responsable de coordinar la formulación oportuna del proyecto del plan de Ordenamiento Territorial, y de someterlo a consideración del Consejo de Gobierno. En todo caso, antes de la presentación del proyecto de plan de ordenamiento territorial a consideración del concejo distrital o municipal, se surtirán los trámites de concertación interinstitucional y consulta ciudadana.</t>
  </si>
  <si>
    <t>Ley 507 de 1999, Artículo 1, parágrafo 6. Parágrafo 6. El Proyecto de Plan de Ordenamiento Territorial (POT) se someterá a consideración de la Corporación Autónoma Regional o autoridad ambiental competente a efectos de que conjuntamente con el municipio y/o distrito concerten lo concerniente a los asuntos exclusivamente ambientales, dentro del ámbito de su competencia de acuerdo con lo dispuesto en la Ley 99 de 1993, para lo cual dispondrán, de treinta (30) días. En relación con los temas sobre los cuales no se logre la concertación, el Ministerio del Medio Ambiente intervendrá con el fin de decidir sobre los puntos de desacuerdo para lo cual dispondrá de un término máximo de treinta (30) días contados a partir del vencimiento del plazo anteriormente señalado en este parágrafo.</t>
  </si>
  <si>
    <t>Ley 1753 de 2015, Plan Nacional de Desarrollo, bases PND estrategia Territorial A y E</t>
  </si>
  <si>
    <t>Decreto 1076 de 2015, Decreto Único Reglamentario del Ambiente.</t>
  </si>
  <si>
    <t>De acuerdo con la Ley 99 de 1993, el objeto de las Corporaciones Autónomas Regionales y las de Desarrollo Sostenible, es la ejecución de políticas, planes, programas y proyectos sobre medio ambiente y recursos naturales renovables en lo relacionado con su administración, manejo y aprovechamiento. Así, las corporaciones son las encargadas de administrar, dentro del área de su jurisdicción, el medio ambiente y los recursos naturales renovables y propender por su desarrollo sostenible, de conformidad con las disposiciones legales y las políticas del Ministerio del Medio Ambiente. Esto significa que las CAR tienen un rol preponderante en la incorporación de los temas ambientales en los ejercicios de planificación y ordenamiento territorial de los municipios y distritos, principalmente, en los modelos de ocupación territorial por ellos propuestos. Para lo anterior, las CAR en conjunto con los organismos nacionales adscritos y vinculados al MADS y con las entidades técnicas y científicas del SINA, deben adelantar estudios e investigaciones, enfocadas al análisis territorial que le permita tomar decisiones y emprender las acciones pertinentes para identificar las determinantes ambientales de su jurisdicción.</t>
  </si>
  <si>
    <t>El factor ambiental es fundamental para asegurar el desarrollo sostenible y la resiliencia territorial de los ejercicios de planificación territorial de los municipios y distritos. Complementario a lo anterior, la Ley 388 de 1997 fijó los objetivos, principios y fines del ordenamiento territorial que rigen las actuaciones de las autoridades municipales y distritales para alcanzar el objeto del ordenamiento del territorio municipal o distrital, esto es, complementar la planificación económica y social con la dimensión territorial, racionalizar las intervenciones sobre el territorio y orientar su desarrollo y aprovechamiento sostenible en los términos de los artículos 1 º, 2 º, 3 º y 6 º de la mencionada ley.</t>
  </si>
  <si>
    <t>La ley 388 de 1997 en su artículo 10º establece los Determinantes ambientales, los constituyen un conjunto de directrices, orientaciones, conceptos y normas que permiten el adecuado reconocimiento del Componente Ambiental en los Planes, Planes Básicos y Esquemas de Ordenamiento Territorial, y su articulación con otros instrumentos de planificación y uso del territorio.</t>
  </si>
  <si>
    <t>La mencionada Ley plantea que en la elaboración y adopción de los planes de ordenamiento territorial los municipios y distritos deberán tener en cuenta, entre otros determinantes, los relacionadas con la conservación y protección del medio ambiente, los recursos naturales la prevención de amenazas y riesgos naturales.</t>
  </si>
  <si>
    <t>Las autoridades ambientales juegan un papel central como asesores técnicos para procurar la inclusión del componente ambiental en los procesos de planificación y ordenamiento de las entidades territoriales, en especial en lo relacionado con la incorporación de las determinantes ambientales en los instrumentos de planificación territorial de los municipios. Una asistencia técnica de las CAR a los municipios y distritos en este sentido, permite a la autoridad ambiental incidir favorablemente en las decisiones sobre aprovechamiento racional de recursos naturales renovables y en su inclusión como elementos estructurantes y articuladores del territorio municipal o distrital, buscando de esta forma garantizar que los procesos de desarrollo territorial sean ambientalmente sostenibles.</t>
  </si>
  <si>
    <t>Por acciones de asesoría y asistencia por parte de la Corporación Autónoma Regional, se entienden las siguientes acciones:</t>
  </si>
  <si>
    <r>
      <t>·</t>
    </r>
    <r>
      <rPr>
        <sz val="7"/>
        <color rgb="FF000000"/>
        <rFont val="Times New Roman"/>
        <family val="1"/>
      </rPr>
      <t xml:space="preserve">        </t>
    </r>
    <r>
      <rPr>
        <sz val="9"/>
        <color rgb="FF000000"/>
        <rFont val="Calibri"/>
        <family val="2"/>
      </rPr>
      <t>Realizar eventos de socialización y capacitación a los municipios y distritos en la inclusión del componente ambiental en los procesos de planificación y ordenamiento territorial, con énfasis en la incorporación de las determinantes ambientales para el ordenamiento territorial municipal.</t>
    </r>
  </si>
  <si>
    <r>
      <t>·</t>
    </r>
    <r>
      <rPr>
        <sz val="7"/>
        <color rgb="FF000000"/>
        <rFont val="Times New Roman"/>
        <family val="1"/>
      </rPr>
      <t xml:space="preserve">        </t>
    </r>
    <r>
      <rPr>
        <sz val="9"/>
        <color rgb="FF000000"/>
        <rFont val="Calibri"/>
        <family val="2"/>
      </rPr>
      <t>Socializar con los municipios de su jurisdicción la información derivada de sus sistemas de información, relacionado con el conocimiento del estado del ambiente a nivel regional y local.</t>
    </r>
  </si>
  <si>
    <r>
      <t>·</t>
    </r>
    <r>
      <rPr>
        <sz val="7"/>
        <color rgb="FF000000"/>
        <rFont val="Times New Roman"/>
        <family val="1"/>
      </rPr>
      <t xml:space="preserve">        </t>
    </r>
    <r>
      <rPr>
        <sz val="9"/>
        <color rgb="FF000000"/>
        <rFont val="Calibri"/>
        <family val="2"/>
      </rPr>
      <t>Capacitar a los municipios y Distritos en lo relacionado con el proceso de Concertación de los asuntos exclusivamente ambientales de los POT</t>
    </r>
    <r>
      <rPr>
        <sz val="12"/>
        <color rgb="FF000000"/>
        <rFont val="Calibri"/>
        <family val="2"/>
      </rPr>
      <t>.</t>
    </r>
  </si>
  <si>
    <t>Porcentaje de municipios asesorados o asistidos en la incorporación de los determinantes ambientales para la revisión y ajuste de los POT</t>
  </si>
  <si>
    <r>
      <t xml:space="preserve">PMAPOT </t>
    </r>
    <r>
      <rPr>
        <vertAlign val="subscript"/>
        <sz val="9"/>
        <color rgb="FF000000"/>
        <rFont val="Calibri"/>
        <family val="2"/>
        <scheme val="minor"/>
      </rPr>
      <t>t</t>
    </r>
    <r>
      <rPr>
        <sz val="9"/>
        <color rgb="FF000000"/>
        <rFont val="Calibri"/>
        <family val="2"/>
        <scheme val="minor"/>
      </rPr>
      <t xml:space="preserve"> = Porcentaje de municipios asesorados o asistidos asesorados o asistidos en la inclusión del componente ambiental en los procesos de planificación y ordenamiento territorial, con énfasis en la incorporación de las determinantes ambientales para la revisión y ajuste de los POT, en el tiempo t.</t>
    </r>
  </si>
  <si>
    <r>
      <t xml:space="preserve">MAPOT </t>
    </r>
    <r>
      <rPr>
        <vertAlign val="subscript"/>
        <sz val="9"/>
        <color rgb="FF000000"/>
        <rFont val="Calibri"/>
        <family val="2"/>
        <scheme val="minor"/>
      </rPr>
      <t>t</t>
    </r>
    <r>
      <rPr>
        <sz val="9"/>
        <color rgb="FF000000"/>
        <rFont val="Calibri"/>
        <family val="2"/>
        <scheme val="minor"/>
      </rPr>
      <t xml:space="preserve"> = Número de municipios asesorados en la inclusión del componente ambiental en los procesos de planificación y ordenamiento territorial, con énfasis en la incorporación de las determinantes ambientales para la revisión y ajuste de los POT, en el tiempo t.</t>
    </r>
  </si>
  <si>
    <r>
      <t xml:space="preserve">MMAPOT </t>
    </r>
    <r>
      <rPr>
        <vertAlign val="subscript"/>
        <sz val="9"/>
        <color rgb="FF000000"/>
        <rFont val="Calibri"/>
        <family val="2"/>
        <scheme val="minor"/>
      </rPr>
      <t>t</t>
    </r>
    <r>
      <rPr>
        <sz val="9"/>
        <color rgb="FF000000"/>
        <rFont val="Calibri"/>
        <family val="2"/>
        <scheme val="minor"/>
      </rPr>
      <t xml:space="preserve"> = Meta de municipios a ser asesorados en la inclusión del componente ambiental en los procesos de planificación y ordenamiento territorial, con énfasis en la incorporación de las determinantes ambientales para la revisión y ajuste de los POT, en el tiempo t.</t>
    </r>
  </si>
  <si>
    <t>Meta de municipios a ser asesorados o asistidos en la inclusión del componente ambiental en los procesos de planificación y ordenamiento territorial, con énfasis en la incorporación de las determinantes ambientales para la revisión y ajuste de los POT (MMAPOT)</t>
  </si>
  <si>
    <t>Municipios asesorados o asistidos en la inclusión del componente ambiental en los procesos de planificación y ordenamiento territorial, con énfasis en la incorporación de las determinantes ambientales para la revisión y ajuste de los POT (MAPOT)</t>
  </si>
  <si>
    <t>Porcentaje de municipios asesorados o asistidos en la inclusión del componente ambiental en los procesos de planificación y ordenamiento territorial, con énfasis en la incorporación de las determinantes ambientales para la revisión y ajuste de los POT (PMAPOT) (C = B / A)</t>
  </si>
  <si>
    <t>Detalle de acciones de asesoría o asistencia a los municipios o distritos, realizadas en la vigencia (utilice tantas filas cuantas sean necesarias)</t>
  </si>
  <si>
    <t xml:space="preserve">Número de municipios </t>
  </si>
  <si>
    <t>Nombres de municipios</t>
  </si>
  <si>
    <t>Cuanto más cercano a cien por ciento, mayor es el cumplimiento de las metas establecidas en relación con la asesoría a los municipios en la incorporación de los determinantes ambientales para la revisión y ajuste de los POT.</t>
  </si>
  <si>
    <r>
      <t>Hoja Metodológica de referencia:</t>
    </r>
    <r>
      <rPr>
        <sz val="9"/>
        <color rgb="FF000000"/>
        <rFont val="Calibri"/>
        <family val="2"/>
        <scheme val="minor"/>
      </rPr>
      <t xml:space="preserve"> MADS (2016). </t>
    </r>
    <r>
      <rPr>
        <i/>
        <sz val="9"/>
        <color rgb="FF000000"/>
        <rFont val="Calibri"/>
        <family val="2"/>
        <scheme val="minor"/>
      </rPr>
      <t xml:space="preserve">Hoja metodológica de Porcentaje de municipios asesorados o asistidos en la inclusión del componente ambiental en los procesos de planificación y ordenamiento territorial, con énfasis en la incorporación de las determinantes ambientales para la revisión y ajuste de los POT (Versión 1.0). Ministerio de Ambiente y Desarrollo Sostenible </t>
    </r>
    <r>
      <rPr>
        <sz val="9"/>
        <color rgb="FF000000"/>
        <rFont val="Calibri"/>
        <family val="2"/>
        <scheme val="minor"/>
      </rPr>
      <t>MADS, DGOAT-SINA.</t>
    </r>
  </si>
  <si>
    <t>Porcentaje de redes y estaciones de monitoreo en operación</t>
  </si>
  <si>
    <t>Es el número de redes y estaciones de monitoreo que están en operación y que cumplen con la representatividad de los datos en relación con el número de redes y estaciones de monitoreo instaladas de la Corporación.</t>
  </si>
  <si>
    <t>El indicador mide la gestión de la corporación para el mantenimiento de las redes de monitoreo, el cumplimiento de las metas que la autoridad ambiental se ha propuesto alcanzar en relación con la operación de redes y estaciones de monitoreo, que satisfacen la representatividad temporal de los datos y sigue los protocolos establecidos.</t>
  </si>
  <si>
    <t>SIRH: Decreto 1076 de 2015.</t>
  </si>
  <si>
    <t>SISAIRE: Resolución 601 de 2006, Resolución 650 de 2010, Resolución 651 de 2010, Resolución 760 de 2010, Resolución 2153 de 2010, Resolución 2154 de 2010.</t>
  </si>
  <si>
    <t>www.sisaire.gov.co</t>
  </si>
  <si>
    <t>www.sirh.ideam.gov.co</t>
  </si>
  <si>
    <t>La información sobre la cantidad y calidad de los recursos naturales y del ambiente es la herramienta necesaria para una planificación y administración adecuada de dichos recursos, que garantice su sostenibilidad ambiental.</t>
  </si>
  <si>
    <t>Por ello, el Decreto 1076 de 2015 crea el Sistema de Información del Recurso Hídrico - SIRH, como parte del Sistema de Información Ambiental para Colombia - SIAC, en lo relacionado con aguas superficiales, subterráneas, marinas y estuarinas. El Decreto 1076 determina como responsabilidad de las corporaciones autónomas regionales “realizar el monitoreo y seguimiento del recurso hídrico en el área de su jurisdicción, para lo cual deberán aplicar los protocolos y estándares establecidos en el SIRH”. Por su parte, los titulares de licencias, permisos y concesiones están obligados a recopilar y a suministrar sin costo alguno la información sobre la utilización del mismo a las autoridades ambientales competentes.</t>
  </si>
  <si>
    <t>Adicionalmente, el Decreto 1076 de 2015, establece que las autoridades ambientales deberán realizar el Registro de Usuarios del Recurso Hídrico de manera gradual en las cuencas hidrográficas priorizadas en su jurisdicción.</t>
  </si>
  <si>
    <t>Por otra parte, la Resolución 651 de 2010 crea el Subsistema de Información sobre Calidad del Aire – Sisaire, como parte del Sistema de Información Ambiental para Colombia, SIAC, en lo referente a la información para el diseño, evaluación y ajuste de la política y las estrategias para la prevención y control de la contaminación del aire. La resolución estipula que las corporaciones autónomas regionales que operen Sistemas de Vigilancia de la Calidad del Aire (SVCA) deben realizar el reporte de la información de calidad del aire a nivel de inmisión. Las autoridades ambientales tienen la obligación de reportar al Sisaire la información de calidad del aire, meteorológica y de ruido.</t>
  </si>
  <si>
    <r>
      <t xml:space="preserve">PREMO </t>
    </r>
    <r>
      <rPr>
        <vertAlign val="subscript"/>
        <sz val="9"/>
        <color rgb="FF000000"/>
        <rFont val="Calibri"/>
        <family val="2"/>
        <scheme val="minor"/>
      </rPr>
      <t>t</t>
    </r>
    <r>
      <rPr>
        <sz val="9"/>
        <color rgb="FF000000"/>
        <rFont val="Calibri"/>
        <family val="2"/>
        <scheme val="minor"/>
      </rPr>
      <t xml:space="preserve"> = Porcentaje de redes y estaciones de monitoreo en operación, en el tiempo t.</t>
    </r>
  </si>
  <si>
    <r>
      <t xml:space="preserve">PREMOAG </t>
    </r>
    <r>
      <rPr>
        <vertAlign val="subscript"/>
        <sz val="9"/>
        <color rgb="FF000000"/>
        <rFont val="Calibri"/>
        <family val="2"/>
        <scheme val="minor"/>
      </rPr>
      <t>t</t>
    </r>
    <r>
      <rPr>
        <sz val="9"/>
        <color rgb="FF000000"/>
        <rFont val="Calibri"/>
        <family val="2"/>
        <scheme val="minor"/>
      </rPr>
      <t xml:space="preserve"> = Porcentaje de estaciones de monitoreo de calidad del agua en operación, en el tiempo t.</t>
    </r>
  </si>
  <si>
    <r>
      <t xml:space="preserve">PREMOAR </t>
    </r>
    <r>
      <rPr>
        <vertAlign val="subscript"/>
        <sz val="9"/>
        <color rgb="FF000000"/>
        <rFont val="Calibri"/>
        <family val="2"/>
        <scheme val="minor"/>
      </rPr>
      <t>t</t>
    </r>
    <r>
      <rPr>
        <sz val="9"/>
        <color rgb="FF000000"/>
        <rFont val="Calibri"/>
        <family val="2"/>
        <scheme val="minor"/>
      </rPr>
      <t xml:space="preserve"> = Porcentaje de redes y estaciones de monitoreo de calidad del aire en operación, en el tiempo t.</t>
    </r>
  </si>
  <si>
    <r>
      <t xml:space="preserve">PREMOO </t>
    </r>
    <r>
      <rPr>
        <vertAlign val="subscript"/>
        <sz val="9"/>
        <color rgb="FF000000"/>
        <rFont val="Calibri"/>
        <family val="2"/>
        <scheme val="minor"/>
      </rPr>
      <t>t</t>
    </r>
    <r>
      <rPr>
        <sz val="9"/>
        <color rgb="FF000000"/>
        <rFont val="Calibri"/>
        <family val="2"/>
        <scheme val="minor"/>
      </rPr>
      <t xml:space="preserve"> = Porcentaje de otras redes y estaciones de monitoreo en operación, en el tiempo t.</t>
    </r>
  </si>
  <si>
    <r>
      <t xml:space="preserve">a = ponderador de PREMOAG </t>
    </r>
    <r>
      <rPr>
        <vertAlign val="subscript"/>
        <sz val="9"/>
        <color rgb="FF000000"/>
        <rFont val="Calibri"/>
        <family val="2"/>
        <scheme val="minor"/>
      </rPr>
      <t>t</t>
    </r>
  </si>
  <si>
    <r>
      <t xml:space="preserve">b = ponderador de PREMOAR </t>
    </r>
    <r>
      <rPr>
        <vertAlign val="subscript"/>
        <sz val="9"/>
        <color rgb="FF000000"/>
        <rFont val="Calibri"/>
        <family val="2"/>
        <scheme val="minor"/>
      </rPr>
      <t>t</t>
    </r>
  </si>
  <si>
    <r>
      <t xml:space="preserve">c = ponderador de PREMOO </t>
    </r>
    <r>
      <rPr>
        <vertAlign val="subscript"/>
        <sz val="9"/>
        <color rgb="FF000000"/>
        <rFont val="Calibri"/>
        <family val="2"/>
        <scheme val="minor"/>
      </rPr>
      <t>t</t>
    </r>
  </si>
  <si>
    <t>Nota: los ponderadores serán definidos por cada CAR teniendo en cuenta la proporción de redes y estaciones de monitoreo a cargo de la autoridad ambiental regional.</t>
  </si>
  <si>
    <t>AGUA</t>
  </si>
  <si>
    <t>Información de estaciones hidrometeorológicas</t>
  </si>
  <si>
    <t>Tipo de estación</t>
  </si>
  <si>
    <t>Automáticas</t>
  </si>
  <si>
    <t>Manuales</t>
  </si>
  <si>
    <t>Instaladas</t>
  </si>
  <si>
    <t>En operación</t>
  </si>
  <si>
    <t>Estaciones hidrometeorológicas</t>
  </si>
  <si>
    <t>Número total de estaciones hidrometeorológicas instaladas:</t>
  </si>
  <si>
    <t>Número total de estaciones hidrometeorológicas en operación:</t>
  </si>
  <si>
    <t>Porcentaje de estaciones hidrometeorológicas en operación:</t>
  </si>
  <si>
    <t>AIRE</t>
  </si>
  <si>
    <t>MONITOREO DE PM10</t>
  </si>
  <si>
    <t>Número de Sistemas de Vigilancia de Calidad del Aire:</t>
  </si>
  <si>
    <t>Número de estaciones de monitoreo del aire instaladas:</t>
  </si>
  <si>
    <t>Número de Sistemas de Vigilancia de Calidad del Aire acreditados:</t>
  </si>
  <si>
    <t>Información de estaciones de monitoreo de aire</t>
  </si>
  <si>
    <t>Número de red</t>
  </si>
  <si>
    <t>Estación</t>
  </si>
  <si>
    <t>Localización</t>
  </si>
  <si>
    <t>Número de días con datos esperados al año</t>
  </si>
  <si>
    <t>Número de días con datos reportados al año</t>
  </si>
  <si>
    <t>Representatividad temporal igual o superior a 75%</t>
  </si>
  <si>
    <t>(E = D/ C). Si E≥75%, escriba 1; si no, escriba 0.</t>
  </si>
  <si>
    <t>Observaciones / comentarios</t>
  </si>
  <si>
    <t>Información de redes (Sistemas de Vigilancia de Calidad del Aire)</t>
  </si>
  <si>
    <t>Número / red</t>
  </si>
  <si>
    <t>Redes instaladas en la Corporación</t>
  </si>
  <si>
    <t>Número de estaciones en operación</t>
  </si>
  <si>
    <t xml:space="preserve">Número de estaciones con representatividad temporal igual o superior a 75%. </t>
  </si>
  <si>
    <t>J</t>
  </si>
  <si>
    <t>Redes con representatividad temporal a 75%</t>
  </si>
  <si>
    <t>J = I / H. Si J≥75%, escriba 1; si no, escriba 0.</t>
  </si>
  <si>
    <t>K</t>
  </si>
  <si>
    <t>Porcentaje de redes en operación (K = ΣJ / G)</t>
  </si>
  <si>
    <t>MONITOREO DE PM2,5</t>
  </si>
  <si>
    <t>(E = D/ C) Si E≥75%, escriba 1; si no, escriba 0.</t>
  </si>
  <si>
    <t>Número de estaciones con representatividad temporal igual o superior a 75%</t>
  </si>
  <si>
    <t>SUBTOTAL RECURSO AIRE</t>
  </si>
  <si>
    <t>L</t>
  </si>
  <si>
    <t>Porcentaje de redes en operación PM 10</t>
  </si>
  <si>
    <t>M</t>
  </si>
  <si>
    <t>Porcentaje de redes en operación PM 2,5</t>
  </si>
  <si>
    <t>Subtotal monitoreo aire: Porcentaje de redes de monitoreo del recurso aire en operación (N = Promedio (M, N)</t>
  </si>
  <si>
    <t>CALCULO FINAL DEL INDICADOR</t>
  </si>
  <si>
    <t>Porcentaje</t>
  </si>
  <si>
    <t>Ponderación</t>
  </si>
  <si>
    <t>Porcentaje de estaciones hidrometeorológicas en operación</t>
  </si>
  <si>
    <t>Porcentaje de redes de monitoreo del recurso aire en operación</t>
  </si>
  <si>
    <t>Cuanto más cercano a cien por ciento, mayor es el cumplimiento de las metas que la autoridad ambiental se ha propuesto alcanzar en relación con la operación de redes y estaciones de monitoreo, en el marco del Plan de Acción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</si>
  <si>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Porcentaje de redes y estaciones de monitoreo en operación (Versión 1.0).</t>
    </r>
    <r>
      <rPr>
        <sz val="9"/>
        <color rgb="FF000000"/>
        <rFont val="Calibri"/>
        <family val="2"/>
        <scheme val="minor"/>
      </rPr>
      <t xml:space="preserve"> Ministerio de Ambiente y Desarrollo Sostenible, DGOAT-SINA.</t>
    </r>
  </si>
  <si>
    <t>Porcentaje de actualización y reporte de la información en el SIAC</t>
  </si>
  <si>
    <t>Es la relación entre el número de registros que la Corporación migra a los diferentes subsistemas del SIAC y el número de registros esperados reportados en dichos subsistemas.</t>
  </si>
  <si>
    <t>El indicador mide el cumplimiento de los requerimientos de reporte por parte de las Corporaciones Autónomas Regionales a los diferentes subsistemas del SIAC.</t>
  </si>
  <si>
    <t>SIUR, RUA Manufacturero: Resolución 1023 de 2010.</t>
  </si>
  <si>
    <t>RESPEL: Resolución 1362 de 2007.</t>
  </si>
  <si>
    <t>Documentación de soporte:</t>
  </si>
  <si>
    <t>Protocolo para la utilización y reporte de información para las diferentes redes de monitoreo de calidad del aire en Colombia. Protocolo para el monitoreo y seguimiento del agua.</t>
  </si>
  <si>
    <t>100% de los registros esperados reportados en el SIAC</t>
  </si>
  <si>
    <t>El Sistema de Información Ambiental de Colombia SIAC se define como el “conjunto integrado de actores, políticas, procesos, y tecnologías involucrados en la gestión de información ambiental del país, para facilitar la generación de conocimiento, la toma de decisiones, la educación y la participación social para el desarrollo sostenible”.</t>
  </si>
  <si>
    <t>La información sobre la cantidad y calidad de los recursos naturales y del ambiente es la herramienta necesaria para una planificación y administración adecuada de dichos recursos, que garantice su sostenibilidad ambiental. En tal sentido, el SIAC ha desarrollado, entre otros subsistemas, el Sistema de Información del Recurso Hídrico – SIRH, el Sistema de información sobre Calidad de Aire – SISAIRE (IDEAM), el Sistema Nacional de Información Forestal – SNIF y el Sistema de Información sobre Uso de Recursos Naturales – SIUR. Como parte del SIUR, se dispone del Registro Único Ambiental RUA para diferentes sectores, entre otros, el manufacturero.</t>
  </si>
  <si>
    <t>En efecto, el Decreto 1076 de 2015 crea el Sistema de Información del Recurso Hídrico, SIRH, como parte del Sistema de Información Ambiental para Colombia, SIAC, en lo relacionado con aguas superficiales, subterráneas, marinas y estuarinas. El Artículo 2.2.3.5.1.9 de dicho Decreto determina como responsabilidad de las corporaciones autónomas regionales “realizar el monitoreo y seguimiento del recurso hídrico en el área de su jurisdicción, para lo cual deberán aplicar los protocolos y estándares establecidos en el SIRH”. Por su parte, los titulares de licencias, permisos y concesiones están obligados a recopilar y a suministrar sin costo alguno la información sobre la utilización del mismo a las autoridades ambientales competentes (Artículo 2.2.3.5.1.10).</t>
  </si>
  <si>
    <t>Adicionalmente, el Decreto 1076 de 2015, art. 2.2.3.4.1.1. establece que las autoridades ambientales deberán realizar el Registro de Usuarios del Recurso Hídrico de manera gradual en las cuencas hidrográficas priorizadas en su jurisdicción.</t>
  </si>
  <si>
    <t>El Sistema Nacional de Información Forestal- SNIF constituye la herramienta informática para el montaje y operación del Sistema de Información del Programa de Monitoreo de Bosques. Propende por la captura, análisis, procesamiento y difusión de la información sobre aprovechamientos de productos forestales, maderables y no maderables, movilizaciones de productos forestales maderables y no maderables, decomisos forestales, plantaciones forestales productoras y protectoras, remisiones de madera de plantaciones forestales e incendios de la cobertura vegetal.</t>
  </si>
  <si>
    <t>La Resolución 1362 de 2007 establecen los requisitos y el procedimiento para el Registro de Generadores de Residuos o Desechos Peligrosos, y la Directiva Ministerial 8000-2-25332 de 2015, por su parte, recuerda a las Corporaciones a reportar y mantener actualizada la información sobre residuos peligrosos en el marco del SIAC, en cumplimiento de la Política Ambiental para la Gestión Integral de Residuos Peligrosos.</t>
  </si>
  <si>
    <t>Porcentaje de actualización y reporte de la información al SIAC</t>
  </si>
  <si>
    <r>
      <t xml:space="preserve">PARSIAC </t>
    </r>
    <r>
      <rPr>
        <vertAlign val="subscript"/>
        <sz val="9"/>
        <color rgb="FF000000"/>
        <rFont val="Calibri"/>
        <family val="2"/>
        <scheme val="minor"/>
      </rPr>
      <t>t</t>
    </r>
    <r>
      <rPr>
        <sz val="9"/>
        <color rgb="FF000000"/>
        <rFont val="Calibri"/>
        <family val="2"/>
        <scheme val="minor"/>
      </rPr>
      <t xml:space="preserve"> = Porcentaje de actualización y reporte de la información al SIAC, en el tiempo t.</t>
    </r>
  </si>
  <si>
    <r>
      <t xml:space="preserve">PARS </t>
    </r>
    <r>
      <rPr>
        <vertAlign val="subscript"/>
        <sz val="9"/>
        <color rgb="FF000000"/>
        <rFont val="Calibri"/>
        <family val="2"/>
        <scheme val="minor"/>
      </rPr>
      <t>i</t>
    </r>
    <r>
      <rPr>
        <sz val="9"/>
        <color rgb="FF000000"/>
        <rFont val="Calibri"/>
        <family val="2"/>
        <scheme val="minor"/>
      </rPr>
      <t xml:space="preserve"> = Porcentaje de actualización y reporte de la información al Subsistema </t>
    </r>
    <r>
      <rPr>
        <i/>
        <sz val="9"/>
        <color rgb="FF000000"/>
        <rFont val="Calibri"/>
        <family val="2"/>
        <scheme val="minor"/>
      </rPr>
      <t>i</t>
    </r>
    <r>
      <rPr>
        <sz val="9"/>
        <color rgb="FF000000"/>
        <rFont val="Calibri"/>
        <family val="2"/>
        <scheme val="minor"/>
      </rPr>
      <t xml:space="preserve"> del SIAC, en el tiempo t</t>
    </r>
  </si>
  <si>
    <t>i = SIRH, SISAIRE, SNIF, RESPEL.</t>
  </si>
  <si>
    <r>
      <t>a</t>
    </r>
    <r>
      <rPr>
        <vertAlign val="subscript"/>
        <sz val="9"/>
        <color rgb="FF000000"/>
        <rFont val="Calibri"/>
        <family val="2"/>
        <scheme val="minor"/>
      </rPr>
      <t xml:space="preserve">i = </t>
    </r>
    <r>
      <rPr>
        <sz val="9"/>
        <color rgb="FF000000"/>
        <rFont val="Calibri"/>
        <family val="2"/>
        <scheme val="minor"/>
      </rPr>
      <t>Ponderación correspondiente a cada subsistema del SIAC (SIRH, SISAIRE, SNIF, RESPEL, SIUR). La suma de los ponderadores es igual a 1.</t>
    </r>
  </si>
  <si>
    <t>Nota: los ponderadores para cada subsistema son establecidos por cada Corporación con base en los registros esperados o estimados por cada subsistema.</t>
  </si>
  <si>
    <t>En términos generales, el porcentaje de actualización y reporte de la información por cada subsistema se calcula de la siguiente manera:</t>
  </si>
  <si>
    <t>Porcentaje de actualización y reporte de la información por cada subsistema</t>
  </si>
  <si>
    <r>
      <t xml:space="preserve">PARS </t>
    </r>
    <r>
      <rPr>
        <vertAlign val="subscript"/>
        <sz val="9"/>
        <color rgb="FF000000"/>
        <rFont val="Calibri"/>
        <family val="2"/>
        <scheme val="minor"/>
      </rPr>
      <t>it</t>
    </r>
    <r>
      <rPr>
        <sz val="9"/>
        <color rgb="FF000000"/>
        <rFont val="Calibri"/>
        <family val="2"/>
        <scheme val="minor"/>
      </rPr>
      <t xml:space="preserve"> = Porcentaje de actualización y reporte de la información al Subsistema </t>
    </r>
    <r>
      <rPr>
        <i/>
        <sz val="9"/>
        <color rgb="FF000000"/>
        <rFont val="Calibri"/>
        <family val="2"/>
        <scheme val="minor"/>
      </rPr>
      <t>i</t>
    </r>
    <r>
      <rPr>
        <sz val="9"/>
        <color rgb="FF000000"/>
        <rFont val="Calibri"/>
        <family val="2"/>
        <scheme val="minor"/>
      </rPr>
      <t xml:space="preserve"> del SIAC, en el tiempo t.</t>
    </r>
  </si>
  <si>
    <r>
      <t xml:space="preserve">RRS </t>
    </r>
    <r>
      <rPr>
        <vertAlign val="subscript"/>
        <sz val="9"/>
        <color rgb="FF000000"/>
        <rFont val="Calibri"/>
        <family val="2"/>
        <scheme val="minor"/>
      </rPr>
      <t>it</t>
    </r>
    <r>
      <rPr>
        <sz val="9"/>
        <color rgb="FF000000"/>
        <rFont val="Calibri"/>
        <family val="2"/>
        <scheme val="minor"/>
      </rPr>
      <t xml:space="preserve"> = Número de registros reportados en el subsistema </t>
    </r>
    <r>
      <rPr>
        <i/>
        <sz val="9"/>
        <color rgb="FF000000"/>
        <rFont val="Calibri"/>
        <family val="2"/>
        <scheme val="minor"/>
      </rPr>
      <t>i</t>
    </r>
    <r>
      <rPr>
        <sz val="9"/>
        <color rgb="FF000000"/>
        <rFont val="Calibri"/>
        <family val="2"/>
        <scheme val="minor"/>
      </rPr>
      <t xml:space="preserve"> del SIAC, en el tiempo t.</t>
    </r>
  </si>
  <si>
    <r>
      <t xml:space="preserve">RES </t>
    </r>
    <r>
      <rPr>
        <vertAlign val="subscript"/>
        <sz val="9"/>
        <color rgb="FF000000"/>
        <rFont val="Calibri"/>
        <family val="2"/>
        <scheme val="minor"/>
      </rPr>
      <t>it</t>
    </r>
    <r>
      <rPr>
        <sz val="9"/>
        <color rgb="FF000000"/>
        <rFont val="Calibri"/>
        <family val="2"/>
        <scheme val="minor"/>
      </rPr>
      <t xml:space="preserve"> = Número de registros esperados reportados en el subsistema </t>
    </r>
    <r>
      <rPr>
        <i/>
        <sz val="9"/>
        <color rgb="FF000000"/>
        <rFont val="Calibri"/>
        <family val="2"/>
        <scheme val="minor"/>
      </rPr>
      <t>i</t>
    </r>
    <r>
      <rPr>
        <sz val="9"/>
        <color rgb="FF000000"/>
        <rFont val="Calibri"/>
        <family val="2"/>
        <scheme val="minor"/>
      </rPr>
      <t xml:space="preserve"> del SIAC, en el tiempo t.</t>
    </r>
  </si>
  <si>
    <r>
      <t>i</t>
    </r>
    <r>
      <rPr>
        <sz val="9"/>
        <color rgb="FF000000"/>
        <rFont val="Calibri"/>
        <family val="2"/>
        <scheme val="minor"/>
      </rPr>
      <t xml:space="preserve"> = SIRH, SISAIRE, SNIF</t>
    </r>
  </si>
  <si>
    <t>Para el caso de la información validada por parte de las corporaciones autónomas regionales, el porcentaje de actualización y reporte de la información por cada subsistema se calcula de la siguiente manera:</t>
  </si>
  <si>
    <t>Porcentaje de actualización y reporte de la información por cada subsistema (información validada)</t>
  </si>
  <si>
    <r>
      <t xml:space="preserve">PARSIV </t>
    </r>
    <r>
      <rPr>
        <vertAlign val="subscript"/>
        <sz val="9"/>
        <color rgb="FF000000"/>
        <rFont val="Calibri"/>
        <family val="2"/>
        <scheme val="minor"/>
      </rPr>
      <t>it</t>
    </r>
    <r>
      <rPr>
        <sz val="9"/>
        <color rgb="FF000000"/>
        <rFont val="Calibri"/>
        <family val="2"/>
        <scheme val="minor"/>
      </rPr>
      <t xml:space="preserve"> = Porcentaje de actualización y reporte de la información por cada subsistema (información validada), en el tiempo t.</t>
    </r>
  </si>
  <si>
    <r>
      <t xml:space="preserve">RVS </t>
    </r>
    <r>
      <rPr>
        <vertAlign val="subscript"/>
        <sz val="9"/>
        <color rgb="FF000000"/>
        <rFont val="Calibri"/>
        <family val="2"/>
        <scheme val="minor"/>
      </rPr>
      <t>it</t>
    </r>
    <r>
      <rPr>
        <sz val="9"/>
        <color rgb="FF000000"/>
        <rFont val="Calibri"/>
        <family val="2"/>
        <scheme val="minor"/>
      </rPr>
      <t xml:space="preserve"> = Número de registros validados en el Subsistema </t>
    </r>
    <r>
      <rPr>
        <i/>
        <sz val="9"/>
        <color rgb="FF000000"/>
        <rFont val="Calibri"/>
        <family val="2"/>
        <scheme val="minor"/>
      </rPr>
      <t>i</t>
    </r>
    <r>
      <rPr>
        <sz val="9"/>
        <color rgb="FF000000"/>
        <rFont val="Calibri"/>
        <family val="2"/>
        <scheme val="minor"/>
      </rPr>
      <t xml:space="preserve"> del SIAC relacionados con las funciones en gestión de información de la Corporación, en el tiempo t.</t>
    </r>
  </si>
  <si>
    <r>
      <t xml:space="preserve">RTVS </t>
    </r>
    <r>
      <rPr>
        <vertAlign val="subscript"/>
        <sz val="9"/>
        <color rgb="FF000000"/>
        <rFont val="Calibri"/>
        <family val="2"/>
        <scheme val="minor"/>
      </rPr>
      <t>it</t>
    </r>
    <r>
      <rPr>
        <sz val="9"/>
        <color rgb="FF000000"/>
        <rFont val="Calibri"/>
        <family val="2"/>
        <scheme val="minor"/>
      </rPr>
      <t xml:space="preserve"> = Número de registros totales a ser validados por la Corporación en el Subsistema </t>
    </r>
    <r>
      <rPr>
        <i/>
        <sz val="9"/>
        <color rgb="FF000000"/>
        <rFont val="Calibri"/>
        <family val="2"/>
        <scheme val="minor"/>
      </rPr>
      <t>i</t>
    </r>
    <r>
      <rPr>
        <sz val="9"/>
        <color rgb="FF000000"/>
        <rFont val="Calibri"/>
        <family val="2"/>
        <scheme val="minor"/>
      </rPr>
      <t xml:space="preserve"> del SIAC, en el tiempo t.</t>
    </r>
  </si>
  <si>
    <t>i = SIRH, SISAIRE, SNIF, RESPEL, SIUR (RUA).</t>
  </si>
  <si>
    <t>Información reportada por las CAR:</t>
  </si>
  <si>
    <t>Subsistema</t>
  </si>
  <si>
    <t>SIRH</t>
  </si>
  <si>
    <t>SISAIRE</t>
  </si>
  <si>
    <t>SNIF</t>
  </si>
  <si>
    <t>Número de registros reportados en el año (RRS)</t>
  </si>
  <si>
    <t>Número de registros esperados reportados en el año (RES)</t>
  </si>
  <si>
    <t>Porcentaje de actualización y reporte por subsistema (C = B / A) (PARS)</t>
  </si>
  <si>
    <t>RESPEL</t>
  </si>
  <si>
    <t>SIUR (RUA)</t>
  </si>
  <si>
    <t>Número de registros validados al año (RVS)</t>
  </si>
  <si>
    <t>Número de registros totales a ser validados por la Corporación (RTVS)</t>
  </si>
  <si>
    <t>Cuanto más cercano a cien por ciento, mayor es el cumplimiento de los requerimientos de reporte por parte de las Corporaciones Autónomas Regionales a los diferentes subsistemas del SIAC.</t>
  </si>
  <si>
    <t>Se pueden presentar situaciones de orden operativo, político y social que pueden afectar la ejecución de los presupuestos y el cumplimiento de los cronogramas definidos en el Plan de Acción de la Corporación. Pueden existir limitaciones de la información disponible para el cálculo de los indicadores.</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</si>
  <si>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actualización y reporte de la información en el SIAC (Versión 1.0).</t>
    </r>
    <r>
      <rPr>
        <sz val="9"/>
        <color rgb="FF000000"/>
        <rFont val="Calibri"/>
        <family val="2"/>
        <scheme val="minor"/>
      </rPr>
      <t xml:space="preserve"> Ministerio de Ambiente y Desarrollo Sostenible, DGOAT-SINA.</t>
    </r>
  </si>
  <si>
    <t>Ejecución de Acciones en Educación Ambiental</t>
  </si>
  <si>
    <t>Es el porcentaje de avance en la implementación, por parte de la corporación autónoma regional, de las acciones relacionadas con la Educación Ambiental en el marco del Plan de Acción.</t>
  </si>
  <si>
    <t>El indicador mide el cumplimiento de las metas relacionadas con la educación ambiental, en el marco del Plan de Acción de la Corporación. De esta manera, contribuye a la implementación de Política de Educación Ambiental a nivel regional.</t>
  </si>
  <si>
    <t>Ley 1549 de 2012, Educación Ambiental</t>
  </si>
  <si>
    <t>Política Nacional de Educación Ambiental</t>
  </si>
  <si>
    <t>La Ley 1549 de 2012 define la Educación Ambiental como “un proceso dinámico y participativo, orientado a la formación de personas críticas y reflexivas, con capacidades para comprender las problemáticas ambientales de sus contextos (locales, regionales y nacionales)”.</t>
  </si>
  <si>
    <t>La mencionada Ley, en su artículo 5º., establece como una “responsabilidad de las entidades territoriales y de las Corporaciones Autónomas Regionales y de Desarrollo Sostenible: a) Desarrollar instrumentos técnico-políticos, que contextualicen la política y la adecúen a las necesidades de construcción de una cultura ambiental para el desarrollo sostenible; b) Promover la creación de estrategias económicas, fondos u otros mecanismos de cooperación, que permitan viabilizar la instalación efectiva del tema en el territorio, y c) Generar y apoyar mecanismos para el cumplimiento, seguimiento y control, de las acciones que se implementen en este marco político”.</t>
  </si>
  <si>
    <t>Adicionalmente, el artículo 9º. estipula que todos los sectores e instituciones que conforman el Sistema Nacional Ambiental (SINA), deben participar técnica y financieramente, en: a) el acompañamiento e implementación de los PRAE, de los Proyectos Ciudadanos y Comunitarios de Educación Ambiental (Proceda), y de los Comités Técnicos Interinstitucionales de Educación Ambiental (Cidea); estos últimos, concebidos como mecanismos de apoyo a la articulación e institucionalización del tema y de cualificación de la gestión ambiental del territorio, y b) En la puesta en marcha de las demás estrategias de esta política, en el marco de los propósitos de construcción de un proyecto de sociedad ambientalmente sostenible.</t>
  </si>
  <si>
    <t>El Artículo 2.2.8.6.1.3 del Decreto 1076 de 2015 establece que “las Corporaciones promoverán en los municipios y distritos, programas de educación ambiental y de planificación, acorde con la Constitución, la Ley 99 de 1993, la Ley 152 de 1994 y las normas que las complementen o adicione”.</t>
  </si>
  <si>
    <t>Las principales acciones relacionadas con la Educación Ambiental son las siguientes:</t>
  </si>
  <si>
    <r>
      <t>a)</t>
    </r>
    <r>
      <rPr>
        <sz val="7"/>
        <color rgb="FF000000"/>
        <rFont val="Times New Roman"/>
        <family val="1"/>
      </rPr>
      <t xml:space="preserve">      </t>
    </r>
    <r>
      <rPr>
        <sz val="9"/>
        <color rgb="FF000000"/>
        <rFont val="Calibri"/>
        <family val="2"/>
        <scheme val="minor"/>
      </rPr>
      <t>Participación en los Comités Técnicos Interinstitucionales de Educación Ambiental (Cidea).</t>
    </r>
  </si>
  <si>
    <r>
      <t>b)</t>
    </r>
    <r>
      <rPr>
        <sz val="7"/>
        <color rgb="FF000000"/>
        <rFont val="Times New Roman"/>
        <family val="1"/>
      </rPr>
      <t xml:space="preserve">      </t>
    </r>
    <r>
      <rPr>
        <sz val="9"/>
        <color rgb="FF000000"/>
        <rFont val="Calibri"/>
        <family val="2"/>
        <scheme val="minor"/>
      </rPr>
      <t>Suscripción de acuerdos o alianzas para la implementación de estrategias de educación ambiental.</t>
    </r>
  </si>
  <si>
    <r>
      <t>c)</t>
    </r>
    <r>
      <rPr>
        <sz val="7"/>
        <color rgb="FF000000"/>
        <rFont val="Times New Roman"/>
        <family val="1"/>
      </rPr>
      <t xml:space="preserve">       </t>
    </r>
    <r>
      <rPr>
        <sz val="9"/>
        <color rgb="FF000000"/>
        <rFont val="Calibri"/>
        <family val="2"/>
        <scheme val="minor"/>
      </rPr>
      <t>Acompañamiento e implementación de los PRAE.</t>
    </r>
  </si>
  <si>
    <r>
      <t>d)</t>
    </r>
    <r>
      <rPr>
        <sz val="7"/>
        <color rgb="FF000000"/>
        <rFont val="Times New Roman"/>
        <family val="1"/>
      </rPr>
      <t xml:space="preserve">      </t>
    </r>
    <r>
      <rPr>
        <sz val="9"/>
        <color rgb="FF000000"/>
        <rFont val="Calibri"/>
        <family val="2"/>
        <scheme val="minor"/>
      </rPr>
      <t>Acompañamiento de los Proyectos Ciudadanos y Comunitarios de Educación Ambiental (Proceda).</t>
    </r>
  </si>
  <si>
    <r>
      <t>e)</t>
    </r>
    <r>
      <rPr>
        <sz val="7"/>
        <color rgb="FF000000"/>
        <rFont val="Times New Roman"/>
        <family val="1"/>
      </rPr>
      <t xml:space="preserve">      </t>
    </r>
    <r>
      <rPr>
        <sz val="9"/>
        <color rgb="FF000000"/>
        <rFont val="Calibri"/>
        <family val="2"/>
        <scheme val="minor"/>
      </rPr>
      <t>Acciones específicas de educación ambiental a cargo de las autoridades ambientales regionales.</t>
    </r>
  </si>
  <si>
    <t>El listado anterior es indicativo. Las acciones a ser realizadas por las Corporaciones deben corresponder a las competencias otorgadas por la normatividad y en el marco de sus funciones misionales.</t>
  </si>
  <si>
    <t>Ejecución de acciones relacionadas con la Educación Ambiental</t>
  </si>
  <si>
    <r>
      <t xml:space="preserve">ETAEA </t>
    </r>
    <r>
      <rPr>
        <vertAlign val="subscript"/>
        <sz val="9"/>
        <color rgb="FF000000"/>
        <rFont val="Calibri"/>
        <family val="2"/>
        <scheme val="minor"/>
      </rPr>
      <t>t</t>
    </r>
    <r>
      <rPr>
        <sz val="9"/>
        <color rgb="FF000000"/>
        <rFont val="Calibri"/>
        <family val="2"/>
        <scheme val="minor"/>
      </rPr>
      <t xml:space="preserve"> = Ejecución total de acciones en Educación Ambiental, en el tiempo t.</t>
    </r>
  </si>
  <si>
    <r>
      <t xml:space="preserve">EAEA </t>
    </r>
    <r>
      <rPr>
        <vertAlign val="subscript"/>
        <sz val="9"/>
        <color rgb="FF000000"/>
        <rFont val="Calibri"/>
        <family val="2"/>
        <scheme val="minor"/>
      </rPr>
      <t>1t</t>
    </r>
    <r>
      <rPr>
        <sz val="9"/>
        <color rgb="FF000000"/>
        <rFont val="Calibri"/>
        <family val="2"/>
        <scheme val="minor"/>
      </rPr>
      <t xml:space="preserve"> = Ejecución de acción </t>
    </r>
    <r>
      <rPr>
        <i/>
        <sz val="9"/>
        <color rgb="FF000000"/>
        <rFont val="Calibri"/>
        <family val="2"/>
        <scheme val="minor"/>
      </rPr>
      <t>1</t>
    </r>
    <r>
      <rPr>
        <sz val="9"/>
        <color rgb="FF000000"/>
        <rFont val="Calibri"/>
        <family val="2"/>
        <scheme val="minor"/>
      </rPr>
      <t xml:space="preserve"> relacionada con la Educación Ambiental, en el tiempo t.</t>
    </r>
  </si>
  <si>
    <r>
      <t xml:space="preserve">EAEA </t>
    </r>
    <r>
      <rPr>
        <vertAlign val="subscript"/>
        <sz val="9"/>
        <color rgb="FF000000"/>
        <rFont val="Calibri"/>
        <family val="2"/>
        <scheme val="minor"/>
      </rPr>
      <t>2t</t>
    </r>
    <r>
      <rPr>
        <sz val="9"/>
        <color rgb="FF000000"/>
        <rFont val="Calibri"/>
        <family val="2"/>
        <scheme val="minor"/>
      </rPr>
      <t xml:space="preserve"> = Ejecución de acción </t>
    </r>
    <r>
      <rPr>
        <i/>
        <sz val="9"/>
        <color rgb="FF000000"/>
        <rFont val="Calibri"/>
        <family val="2"/>
        <scheme val="minor"/>
      </rPr>
      <t>2</t>
    </r>
    <r>
      <rPr>
        <sz val="9"/>
        <color rgb="FF000000"/>
        <rFont val="Calibri"/>
        <family val="2"/>
        <scheme val="minor"/>
      </rPr>
      <t xml:space="preserve"> relacionada con la Educación Ambiental, en el tiempo t.</t>
    </r>
  </si>
  <si>
    <r>
      <t xml:space="preserve">EAEU </t>
    </r>
    <r>
      <rPr>
        <vertAlign val="subscript"/>
        <sz val="9"/>
        <color rgb="FF000000"/>
        <rFont val="Calibri"/>
        <family val="2"/>
        <scheme val="minor"/>
      </rPr>
      <t>nt</t>
    </r>
    <r>
      <rPr>
        <sz val="9"/>
        <color rgb="FF000000"/>
        <rFont val="Calibri"/>
        <family val="2"/>
        <scheme val="minor"/>
      </rPr>
      <t xml:space="preserve"> = Ejecución de acción </t>
    </r>
    <r>
      <rPr>
        <i/>
        <sz val="9"/>
        <color rgb="FF000000"/>
        <rFont val="Calibri"/>
        <family val="2"/>
        <scheme val="minor"/>
      </rPr>
      <t>n</t>
    </r>
    <r>
      <rPr>
        <sz val="9"/>
        <color rgb="FF000000"/>
        <rFont val="Calibri"/>
        <family val="2"/>
        <scheme val="minor"/>
      </rPr>
      <t xml:space="preserve"> relacionada con la Educación Ambiental, en el tiempo t.</t>
    </r>
  </si>
  <si>
    <r>
      <t>a = ponderador de EAEA</t>
    </r>
    <r>
      <rPr>
        <vertAlign val="subscript"/>
        <sz val="9"/>
        <color rgb="FF000000"/>
        <rFont val="Calibri"/>
        <family val="2"/>
        <scheme val="minor"/>
      </rPr>
      <t>1</t>
    </r>
  </si>
  <si>
    <r>
      <t>b = ponderador de EAEA</t>
    </r>
    <r>
      <rPr>
        <vertAlign val="subscript"/>
        <sz val="9"/>
        <color rgb="FF000000"/>
        <rFont val="Calibri"/>
        <family val="2"/>
        <scheme val="minor"/>
      </rPr>
      <t>2</t>
    </r>
  </si>
  <si>
    <r>
      <t>z = ponderador de EAEA</t>
    </r>
    <r>
      <rPr>
        <vertAlign val="subscript"/>
        <sz val="9"/>
        <color rgb="FF000000"/>
        <rFont val="Calibri"/>
        <family val="2"/>
        <scheme val="minor"/>
      </rPr>
      <t>n</t>
    </r>
  </si>
  <si>
    <t>Ejecución presupuestal de acciones relacionadas con la Educación Ambiental</t>
  </si>
  <si>
    <r>
      <t xml:space="preserve">EPAEA </t>
    </r>
    <r>
      <rPr>
        <vertAlign val="subscript"/>
        <sz val="9"/>
        <color rgb="FF000000"/>
        <rFont val="Calibri"/>
        <family val="2"/>
        <scheme val="minor"/>
      </rPr>
      <t>t</t>
    </r>
    <r>
      <rPr>
        <sz val="9"/>
        <color rgb="FF000000"/>
        <rFont val="Calibri"/>
        <family val="2"/>
        <scheme val="minor"/>
      </rPr>
      <t xml:space="preserve"> = Ejecución presupuestal de acciones en Educación Ambiental, en el año t.</t>
    </r>
  </si>
  <si>
    <r>
      <t xml:space="preserve">CAEA </t>
    </r>
    <r>
      <rPr>
        <vertAlign val="subscript"/>
        <sz val="9"/>
        <color rgb="FF000000"/>
        <rFont val="Calibri"/>
        <family val="2"/>
        <scheme val="minor"/>
      </rPr>
      <t>it</t>
    </r>
    <r>
      <rPr>
        <sz val="9"/>
        <color rgb="FF000000"/>
        <rFont val="Calibri"/>
        <family val="2"/>
        <scheme val="minor"/>
      </rPr>
      <t xml:space="preserve"> = Compromisos correspondientes a la acción i en Educación Ambiental, en el año t.</t>
    </r>
  </si>
  <si>
    <r>
      <t xml:space="preserve">PDAEA </t>
    </r>
    <r>
      <rPr>
        <vertAlign val="subscript"/>
        <sz val="9"/>
        <color rgb="FF000000"/>
        <rFont val="Calibri"/>
        <family val="2"/>
        <scheme val="minor"/>
      </rPr>
      <t>it</t>
    </r>
    <r>
      <rPr>
        <sz val="9"/>
        <color rgb="FF000000"/>
        <rFont val="Calibri"/>
        <family val="2"/>
        <scheme val="minor"/>
      </rPr>
      <t xml:space="preserve"> = Presupuesto definitivo a la acción i en Educación Ambiental, en el año t.</t>
    </r>
  </si>
  <si>
    <t>Número de acciones relacionadas con Educación Ambiental</t>
  </si>
  <si>
    <t>Ejecución física y financiera de acciones relacionadas con la Educación Ambiental</t>
  </si>
  <si>
    <t>Cálculo de la ejecución física y financiera de acciones relacionadas con la Educación Ambiental</t>
  </si>
  <si>
    <t>Ejecución Anual (%)</t>
  </si>
  <si>
    <t>Cuanto más cercano a cien por ciento, mayor es el cumplimiento de las metas relacionadas con la Educación Ambiental, en el marco del Plan de Acción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</si>
  <si>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Ejecución de Acciones en Educación Ambiental (Versión 1.0).</t>
    </r>
    <r>
      <rPr>
        <sz val="9"/>
        <color rgb="FF000000"/>
        <rFont val="Calibri"/>
        <family val="2"/>
        <scheme val="minor"/>
      </rPr>
      <t xml:space="preserve"> Ministerio de Ambiente y Desarrollo Sostenible MADS, DGOAT-SINA.</t>
    </r>
  </si>
  <si>
    <t>1.</t>
  </si>
  <si>
    <t>Porcentaje de avance en la formulación y/o ajuste de los Planes de Ordenación y Manejo de Cuencas (POMCAS), Planes de Manejo de Acuíferos (PMA) y Planes de Manejo de Microcuencas (PMM)</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</si>
  <si>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</si>
  <si>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</si>
  <si>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</si>
  <si>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</si>
  <si>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</si>
  <si>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</si>
  <si>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</si>
  <si>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</si>
  <si>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</si>
  <si>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</si>
  <si>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</si>
  <si>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</si>
  <si>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</si>
  <si>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</si>
  <si>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</si>
  <si>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</si>
  <si>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</si>
  <si>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</si>
  <si>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</si>
  <si>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</si>
  <si>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</si>
  <si>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</si>
  <si>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</si>
  <si>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</si>
  <si>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</si>
  <si>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</si>
  <si>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Marinas, costeras  e Insulares (*)</t>
  </si>
  <si>
    <t>Porcentaje de sectores con acompañamiento para la reconversión hacia sistemas sostenibles de producción (PSA = SA / SPA)</t>
  </si>
  <si>
    <t>Sectores acompañados en la reconversión hacia sistemas sostenibles de producción (SA)</t>
  </si>
  <si>
    <t>BORRE O AGREGUE REDES</t>
  </si>
  <si>
    <t>Porcentaje de información validada por la Corporación (PARSIV ) (C = B / A)</t>
  </si>
  <si>
    <t>Observación</t>
  </si>
  <si>
    <t>No. Hoja</t>
  </si>
  <si>
    <t>Indicador</t>
  </si>
  <si>
    <t>Observaciones para la mejora de la aplicación de los indicadores</t>
  </si>
  <si>
    <t xml:space="preserve">Año </t>
  </si>
  <si>
    <t>VOLVER AL INDICE</t>
  </si>
  <si>
    <t>Área (Has)</t>
  </si>
  <si>
    <t>Hoja de fórmulas</t>
  </si>
  <si>
    <t>Relación de páramos delimitados por el MADS, con zonificación y régimen de usos adoptados por la CAR</t>
  </si>
  <si>
    <t>Nombre del páramo</t>
  </si>
  <si>
    <t>Estado de avance</t>
  </si>
  <si>
    <t>* Valor Acumulado</t>
  </si>
  <si>
    <t>Variable  (*)</t>
  </si>
  <si>
    <t>*</t>
  </si>
  <si>
    <t>Promedio de Planes en ejecución</t>
  </si>
  <si>
    <t>Inscrita en el RUNAP</t>
  </si>
  <si>
    <t>Inscritas en el RUNAP</t>
  </si>
  <si>
    <t>Resumen del Indicador</t>
  </si>
  <si>
    <t>Meta de áreas inscritas en el RUNAP (ha)</t>
  </si>
  <si>
    <t>Superficie total de áreas protegidas regionales declaradas, homologadas o recategorizadas, inscritas en el RUNAP</t>
  </si>
  <si>
    <t xml:space="preserve">Meta total de nuevas áreas protegidas a ser inscritas en el RUNAP en el cuatrienio (ha) </t>
  </si>
  <si>
    <t>Superfice de avance anual (ha)</t>
  </si>
  <si>
    <t>Avance Cuatrienal (%)</t>
  </si>
  <si>
    <t>Ponderador acumulado esperado en cada fase</t>
  </si>
  <si>
    <t>Ponderaciones de referencia</t>
  </si>
  <si>
    <t>Formulación</t>
  </si>
  <si>
    <t>Aprestamiento</t>
  </si>
  <si>
    <t>Logística</t>
  </si>
  <si>
    <t>Oficina</t>
  </si>
  <si>
    <t>Preparación</t>
  </si>
  <si>
    <t>Avance (Ponderación acumulada)</t>
  </si>
  <si>
    <t>Meta de avance anual (%)</t>
  </si>
  <si>
    <t>Determinación de la Meta de Avance Anual</t>
  </si>
  <si>
    <t>Hectareas</t>
  </si>
  <si>
    <t>Avance esperado (Ponderación acumulada)</t>
  </si>
  <si>
    <t>Meta de avance anual (ha)</t>
  </si>
  <si>
    <t>Meta de avance anual ponderada (ha)</t>
  </si>
  <si>
    <t>Descripción</t>
  </si>
  <si>
    <t xml:space="preserve">Definición de la unidad objeto de ordenación forestal
Asignación de recursos
Inicio del proceso pre y contractual
Conformación del equipo de trabajo  </t>
  </si>
  <si>
    <t>Actividades de referencia  en el proceso de formulación, implementación y seguimiento del Plan de Ordenación Forestal</t>
  </si>
  <si>
    <t>Consulta, validación y digitalización de información secundaria
Procesamiento e interpretación de imágenes satelitales
Generación de información cartográfica preliminar
Definición de metodología para levantamiento de información primaria</t>
  </si>
  <si>
    <t>Socialización y acuerdos con actores regionales y locales
Chequeo cartografía en campo
Desarrollo del premuestreo, ajuste y realización del inventario forestal
Desarrollo del componente fauna
Desarrollo del componente socieconomico
Desarrollo del componente suelos</t>
  </si>
  <si>
    <t xml:space="preserve">Procesamiento y análisis de información primaria
Propuesta zonificación inicial de la UOF
Propuesta de zonificación de las áreas forestales que componen la UOF
 Formulación del POF para cada área forestal de la UOF
</t>
  </si>
  <si>
    <t>Socialización versión premiminar de los POF
Armonización de los POF con actores locales y regionales
Edición y ajustes de los POF</t>
  </si>
  <si>
    <t>Aprobación de los POF por el Consejo Directivo de la autoridad ambiental competente</t>
  </si>
  <si>
    <t>Aprobación</t>
  </si>
  <si>
    <t>Seguimiento de permisos de vertimiento de agua</t>
  </si>
  <si>
    <t>Porcentaje de autorizaciones ambientales con seguimiento (promedio simple)</t>
  </si>
  <si>
    <t>Cálculo del indicador global</t>
  </si>
  <si>
    <t>% Seguimiento</t>
  </si>
  <si>
    <t>Seguimiento ponderado</t>
  </si>
  <si>
    <t>Tiempo Promedio</t>
  </si>
  <si>
    <t>Meta anual</t>
  </si>
  <si>
    <t>% Meta alcanzada</t>
  </si>
  <si>
    <t>Porcentaje de actualización y reporte de la información al SIAC (Promedio)</t>
  </si>
  <si>
    <t>NO APLICA</t>
  </si>
  <si>
    <t>SI APLICA</t>
  </si>
  <si>
    <t>NO SE REPORTA</t>
  </si>
  <si>
    <t>SI SE REPORTA</t>
  </si>
  <si>
    <t xml:space="preserve"> ¿El Indicador aplica por las especificades ambientales regionales? </t>
  </si>
  <si>
    <t>Acuerdo Consejo Directivo</t>
  </si>
  <si>
    <t xml:space="preserve">Observaciones </t>
  </si>
  <si>
    <t>Acuerdo</t>
  </si>
  <si>
    <t>Programa o Proyecto asociado</t>
  </si>
  <si>
    <t>PAFP t =</t>
  </si>
  <si>
    <t>COMPORTAMIENTO META FISICA 
PLAN DE ACCION</t>
  </si>
  <si>
    <t xml:space="preserve">(5)
PORCENTAJE DE AVANCE 
FISICO %
(Periodo Evaluado)
((4/3)*100)
</t>
  </si>
  <si>
    <t>(5-A) DESCRIPCIÓN DEL AVANCE 
(Se puede describir en texto lo que se desea aclarar del avance númerico respectivo)</t>
  </si>
  <si>
    <t>(18) TOTAL METAS FISICAS Y FINANCIERAS*</t>
  </si>
  <si>
    <t>*El total de las metas fisicas y financieras sera el resultado de una sumatoria, promedios aritmetico o ponderados segun el caso y solo se aplica para las columnas relacionadas con porcentajes de avance y metas financieras.</t>
  </si>
  <si>
    <t>NIVEL RENTISTICO</t>
  </si>
  <si>
    <t>CONCEPTO</t>
  </si>
  <si>
    <t>Nombre de la Corporación</t>
  </si>
  <si>
    <t>Corporación Autónoma Regional del Alto Magdalena - CAM</t>
  </si>
  <si>
    <t>Corporación Autónoma Regional de Cundinamarca – CAR</t>
  </si>
  <si>
    <t>Corporación Autónoma Regional del Canal del Dique – CARDIQUE</t>
  </si>
  <si>
    <t>Corporación Autónoma Regional de Sucre – CARSUCRE</t>
  </si>
  <si>
    <t>Corporación Autónoma Regional de Santander – CAS</t>
  </si>
  <si>
    <t>Corporación para el Desarrollo Sostenible del Norte y el Oriente Amazónico – CDA</t>
  </si>
  <si>
    <t>Corporación Autónoma Regional para la Defensa de la Meseta de Bucaramanga – CDMB</t>
  </si>
  <si>
    <t>Corporación Autónoma Regional para el Desarrollo Sostenible del Chocó – CODECHOCÓ</t>
  </si>
  <si>
    <t>Corporación para el Desarrollo Sostenible del Archipiélago de San Andrés, Providencia y Santa Catalina – CORALINA</t>
  </si>
  <si>
    <t>Corporación Autónoma Regional del Centro de Antioquia – CORANTIOQUIA</t>
  </si>
  <si>
    <t>Corporación para el Desarrollo Sostenible del Área de Manejo Especial de La Macarena – CORMACARENA</t>
  </si>
  <si>
    <t>Corporación Autónoma Regional de las Cuencas de los Ríos Negro y Nare – CORNARE</t>
  </si>
  <si>
    <t>Corporación Autónoma Regional del Magdalena – CORPAMAG</t>
  </si>
  <si>
    <t>Corporación para el Desarrollo Sostenible del Sur de la Amazonia – CORPOAMAZONIA</t>
  </si>
  <si>
    <t>Corporación Autónoma Regional de Boyacá – CORPOBOYACÁ</t>
  </si>
  <si>
    <t>Corporación Autónoma Regional de Caldas – CORPOCALDAS</t>
  </si>
  <si>
    <t>Corporación Autónoma Regional del Cesar – CORPOCESAR</t>
  </si>
  <si>
    <t>Corporación Autónoma Regional de Chivor – CORPOCHIVOR</t>
  </si>
  <si>
    <t>Corporación Autónoma Regional de La Guajira – CORPOGUAJIRA</t>
  </si>
  <si>
    <t>Corporación Autónoma Regional del Guavio – CORPOGUAVIO</t>
  </si>
  <si>
    <t>Corporación para el Desarrollo Sostenible de La Mojana y El San Jorge – CORPOMOJANA</t>
  </si>
  <si>
    <t>Corporación Autónoma Regional de Nariño – CORPONARIÑO</t>
  </si>
  <si>
    <t>Corporación Autónoma Regional de la Frontera Nororiental – CORPONOR</t>
  </si>
  <si>
    <t>Corporación Autónoma Regional de la Orinoquia – CORPORINOQUIA</t>
  </si>
  <si>
    <t>Corporación para el Desarrollo Sostenible del Urabá – CORPOURABA</t>
  </si>
  <si>
    <t>Corporación Autónoma Regional del Tolima – CORTOLIMA</t>
  </si>
  <si>
    <t>Corporación Autónoma Regional del Atlántico – CRA</t>
  </si>
  <si>
    <t>Corporación Autónoma Regional del Cauca – CRC</t>
  </si>
  <si>
    <t>Corporación Autónoma Regional del Quindío – CRQ</t>
  </si>
  <si>
    <t>Corporación Autónoma Regional del Sur de Bolívar – CSB</t>
  </si>
  <si>
    <t>Corporación Autónoma Regional del Valle del Cauca – CVC</t>
  </si>
  <si>
    <t>Corporación Autónoma Regional de los Valles del Sinú y del San Jorge – CVS</t>
  </si>
  <si>
    <t>2016-I</t>
  </si>
  <si>
    <t>2016-II</t>
  </si>
  <si>
    <t>2017-I</t>
  </si>
  <si>
    <t>2017-II</t>
  </si>
  <si>
    <t>2018-I</t>
  </si>
  <si>
    <t>2018-II</t>
  </si>
  <si>
    <t>2019-I</t>
  </si>
  <si>
    <t>2019-II</t>
  </si>
  <si>
    <t>Periodo a reportar</t>
  </si>
  <si>
    <t>Nombre de la persona responsable del reporte</t>
  </si>
  <si>
    <t xml:space="preserve">MATRIZ DE SEGUIMIENTO DEL PLAN DE ACCIÓN
ANEXO No. 1. AVANCE EN LAS METAS FÍSICAS Y FINANCIERAS DEL PLAN DE ACCIÓN  </t>
  </si>
  <si>
    <t>PERIODO REPORTADO:</t>
  </si>
  <si>
    <t xml:space="preserve">ANEXO NO. 3. MATRIZ DE REPORTE DE AVANCE DE INDICADORES MÍNIMOS DE GESTIÓN INCORPORADOS EN LA RESOLUCIÓN 667 DE 2016  </t>
  </si>
  <si>
    <t>NIVEL ESTRUCTURAL</t>
  </si>
  <si>
    <t>SUBNIVEL RENTISTICO</t>
  </si>
  <si>
    <t>NIVEL 1</t>
  </si>
  <si>
    <t>NIVEL 2</t>
  </si>
  <si>
    <t>NIVEL 3</t>
  </si>
  <si>
    <t>03</t>
  </si>
  <si>
    <t>Aportes inversión Fondo de Compensación Ambiental -FCA</t>
  </si>
  <si>
    <t>Aportes inversión Fondo Nacional Ambiental - FONAM</t>
  </si>
  <si>
    <t>TOTAL RECURSOS
(7)</t>
  </si>
  <si>
    <t>OBSERVACIONES (8)</t>
  </si>
  <si>
    <t>PRESUPUESTADO</t>
  </si>
  <si>
    <t>COMPROMETIDO</t>
  </si>
  <si>
    <t>OBLIGACIONES</t>
  </si>
  <si>
    <t xml:space="preserve">PAGOS </t>
  </si>
  <si>
    <t>PAGOS</t>
  </si>
  <si>
    <t>TOTAL GASTOS DE INVERSIÓN</t>
  </si>
  <si>
    <t>CONCEPTO 
(2)</t>
  </si>
  <si>
    <t>Meta de POMCAS aprobados para el cuatrienio 2020-2023 (número):</t>
  </si>
  <si>
    <t>Meta de PMA aprobados para el cuatrienio 2020-2023 (número):</t>
  </si>
  <si>
    <t>Meta de PMM aprobados para el cuatrienio 2020-2023 (número):</t>
  </si>
  <si>
    <t>Superficie total del Plan de Ordenación Forestal a 31/12/2023 (ha)</t>
  </si>
  <si>
    <t>ANEXOS INFORME DE SEGUIMIENTO AL PLAN DE ACCIÓN 2020-2023</t>
  </si>
  <si>
    <t>3201 – Fortalecimiento del desempeño ambiental de los sectores productivos.</t>
  </si>
  <si>
    <t>3202 – Conservación de la biodiversidad y sus servicios ecosistémicos.</t>
  </si>
  <si>
    <t>3203 – Gestión integral del recurso hídrico.</t>
  </si>
  <si>
    <t>3204 – Gestión de la información y el conocimiento ambiental.</t>
  </si>
  <si>
    <t>3205 – Ordenamiento ambiental territorial.</t>
  </si>
  <si>
    <t>3206 – Gestión del cambio climático para un desarrollo bajo en carbono y resiliente al clima.</t>
  </si>
  <si>
    <t>3207 – Gestión integral de mares, costas y recursos acuáticos.</t>
  </si>
  <si>
    <t>3208 – Educación Ambiental.</t>
  </si>
  <si>
    <t>3299 – Fortalecimiento de la gestión y dirección del Sector Ambiente y Desarrollo Sostenible.</t>
  </si>
  <si>
    <t>No Aplica</t>
  </si>
  <si>
    <t>2020-I</t>
  </si>
  <si>
    <t>2020-II</t>
  </si>
  <si>
    <t>2021-I</t>
  </si>
  <si>
    <t>2021-II</t>
  </si>
  <si>
    <t>2022-I</t>
  </si>
  <si>
    <t>2022-II</t>
  </si>
  <si>
    <t>2023-I</t>
  </si>
  <si>
    <t>2023-II</t>
  </si>
  <si>
    <t>2024-I</t>
  </si>
  <si>
    <t>2024-II</t>
  </si>
  <si>
    <t>2025-I</t>
  </si>
  <si>
    <t>2025-II</t>
  </si>
  <si>
    <t>Corporación Autónoma Regional de Risaralda – CARDER</t>
  </si>
  <si>
    <t>Año 0 (2019) (*)</t>
  </si>
  <si>
    <t>2801-01</t>
  </si>
  <si>
    <t>Guatapurí</t>
  </si>
  <si>
    <t>2805-02</t>
  </si>
  <si>
    <t>Bajo Cesar Cienaga de Zapatosa</t>
  </si>
  <si>
    <t>2802-08</t>
  </si>
  <si>
    <t>Calenturitas</t>
  </si>
  <si>
    <t>2319-03</t>
  </si>
  <si>
    <t>Algodonal</t>
  </si>
  <si>
    <t>2321-01</t>
  </si>
  <si>
    <t>Chiriaimo - Manaure</t>
  </si>
  <si>
    <t>Magiriaimo</t>
  </si>
  <si>
    <t>Cuaré</t>
  </si>
  <si>
    <t>Tocaimo</t>
  </si>
  <si>
    <t>Lebrija Medio (cuenca compartida)</t>
  </si>
  <si>
    <t>627.350,23 ha</t>
  </si>
  <si>
    <t>En fase de formulación y aprobado</t>
  </si>
  <si>
    <t xml:space="preserve">En fase de formulación </t>
  </si>
  <si>
    <t>128.828,00 ha</t>
  </si>
  <si>
    <t>88.987,97 ha</t>
  </si>
  <si>
    <t>En fase de formulación</t>
  </si>
  <si>
    <t>En fase de diagnóstico</t>
  </si>
  <si>
    <t>Rio Medio Cesar</t>
  </si>
  <si>
    <t>Subdirección de Gestión Ambiental</t>
  </si>
  <si>
    <t>Libardo Lascarro Ditta</t>
  </si>
  <si>
    <t>Profesional Especializado</t>
  </si>
  <si>
    <t>pomcas_odt@corpocesar.gov.co</t>
  </si>
  <si>
    <t>Km 1 Via a La Paz UIC Casa e Campo</t>
  </si>
  <si>
    <t>2802-03</t>
  </si>
  <si>
    <t>2802-04</t>
  </si>
  <si>
    <t>Sistema Acuífero Cesar - SAC 4.1</t>
  </si>
  <si>
    <t>Simití</t>
  </si>
  <si>
    <t>Eduardo Lopez Romero</t>
  </si>
  <si>
    <t>Profesional especializado</t>
  </si>
  <si>
    <t>saneamientoambiental@corpocesar.gov.co</t>
  </si>
  <si>
    <t>Km 1 Via a La Paz - Valledupar</t>
  </si>
  <si>
    <t>Subdirección de Gestion Ambiental</t>
  </si>
  <si>
    <t>Ismael Escorcia Atencio</t>
  </si>
  <si>
    <t>educacionambiental@corpocesar.gov.co</t>
  </si>
  <si>
    <t>Km 1 Vía a La Paz - Valledupar</t>
  </si>
  <si>
    <t>Subdireccion de Gestion Ambiental</t>
  </si>
  <si>
    <t>pomcasodt@corpocesar.gov.co</t>
  </si>
  <si>
    <t>Asistencia técnica a los 25 municipios del Cesar en la incorporación del componente de cambio climático en los POT´s</t>
  </si>
  <si>
    <t>Actualización de las determinantes ambientales en la jurisdicción de Corpocesar</t>
  </si>
  <si>
    <t>Valledupar, Aguachica, Agustín Codazzi, Astrea, Becerril, Bosconia, Chimichagua, Chiriguaná, Curumaní, El Copey, El Paso, Gamarra, González, La Gloria, La Jagua Ibirico, Manaure Balcón Del Cesar, Pailitas, Pelaya, Pueblo Bello, Río De Oro, Robles (La Paz) San Alberto, San Diego, San Martín, Tamalameque</t>
  </si>
  <si>
    <t>Subdirección de Planeación</t>
  </si>
  <si>
    <t>Adriana García Arevalo</t>
  </si>
  <si>
    <t>Subdirectora</t>
  </si>
  <si>
    <t>planeacion@corpocesar.gov.co</t>
  </si>
  <si>
    <t>Km1 Vía a La Paz - Valledupar</t>
  </si>
  <si>
    <t>Subdirector</t>
  </si>
  <si>
    <t>subdirector.ambiental@corpocesar.gov.co</t>
  </si>
  <si>
    <t>Wilson Marquez Daza</t>
  </si>
  <si>
    <t>Profesional Universitario</t>
  </si>
  <si>
    <t>gestionambiental@corpocesar.gov.co</t>
  </si>
  <si>
    <t>Km 1 Vía a La Paz</t>
  </si>
  <si>
    <t>Paramos Serranía del Perijá</t>
  </si>
  <si>
    <t>Continental</t>
  </si>
  <si>
    <t>Regional</t>
  </si>
  <si>
    <t>Corporación Autónoma Regional del Cesar- Corpocesar</t>
  </si>
  <si>
    <t>Subdirección General Área Gestión Ambiental</t>
  </si>
  <si>
    <t>recursosnaturales@corpocesar.gov.co</t>
  </si>
  <si>
    <t>Carrera 9 No 9-88</t>
  </si>
  <si>
    <t>Oso de anteojos</t>
  </si>
  <si>
    <t>Tremarctos ornatus</t>
  </si>
  <si>
    <t>Jaguar</t>
  </si>
  <si>
    <t>Panthera Onca</t>
  </si>
  <si>
    <t>Km 1 Vía a La Paz UIC Casa e Campo Frente a la Feria Ganadera</t>
  </si>
  <si>
    <t>continental</t>
  </si>
  <si>
    <t>Fauna</t>
  </si>
  <si>
    <t>Caracol africano-Achatina fulica, caracol de tierra- Helixaspersa, Hormiga loca-paratrechina fulra</t>
  </si>
  <si>
    <t>Corporación Autónoma Regional del Cesar -Corpocesar</t>
  </si>
  <si>
    <t>Subdirección General Área de Planeación</t>
  </si>
  <si>
    <t>Corporación Autónoma Regional del Cesar-Corpocesar</t>
  </si>
  <si>
    <t xml:space="preserve">MINERIA </t>
  </si>
  <si>
    <t xml:space="preserve">PORTUARIO </t>
  </si>
  <si>
    <t>LACTEOS</t>
  </si>
  <si>
    <t xml:space="preserve">PALMICULTOR </t>
  </si>
  <si>
    <t>RELLENOS SANITARIOS</t>
  </si>
  <si>
    <t xml:space="preserve">OBRAS CIVILES </t>
  </si>
  <si>
    <t>Capacitación o asistencia técnica a los ETM,  en todos los temas asociados al proceso de revisión de los POT (incluye perfil climático municipal y gestión del CC, GRD, desarrollo urbano sostenible, Expediente municipal del POT, UPR, planes parciales).</t>
  </si>
  <si>
    <t>Corporación Autónoma Regional del Cesar</t>
  </si>
  <si>
    <t>planacion@corpocesar.gov.co</t>
  </si>
  <si>
    <t>ZM1 Loma Centro</t>
  </si>
  <si>
    <t>ZM12 Rincon Hondo</t>
  </si>
  <si>
    <t>ZM13 El Hatillo</t>
  </si>
  <si>
    <t>ZM15 Chiriguana</t>
  </si>
  <si>
    <t>ZM19 Becerril</t>
  </si>
  <si>
    <t>ZM2 Jagua Centro</t>
  </si>
  <si>
    <t>ZM20 Costa Hermosa</t>
  </si>
  <si>
    <t>ZM21 La Victoria</t>
  </si>
  <si>
    <t>ZM22 Casacara</t>
  </si>
  <si>
    <t>ZM3 Loma 2</t>
  </si>
  <si>
    <t>ZM4 La Palmita</t>
  </si>
  <si>
    <t>ZM5 La Aurora</t>
  </si>
  <si>
    <t>ZM6 Boquerón</t>
  </si>
  <si>
    <t>ZM9 Jagua Vía</t>
  </si>
  <si>
    <t>La Loma de Calentura</t>
  </si>
  <si>
    <t>Rincón Hondo</t>
  </si>
  <si>
    <t>El Hatillo</t>
  </si>
  <si>
    <t>Chiriguaná</t>
  </si>
  <si>
    <t>Becerril</t>
  </si>
  <si>
    <t>Jagua de Ibirico</t>
  </si>
  <si>
    <t>La Victoria</t>
  </si>
  <si>
    <t>Casacará</t>
  </si>
  <si>
    <t>La Palmita</t>
  </si>
  <si>
    <t>La Aurora</t>
  </si>
  <si>
    <t>Boquerón</t>
  </si>
  <si>
    <t>Valledupar</t>
  </si>
  <si>
    <t>ZM9 Jagua via</t>
  </si>
  <si>
    <t>La Jagua de Ibirico</t>
  </si>
  <si>
    <t>Casacara</t>
  </si>
  <si>
    <t>Corporación Autonoma Regional del Cesar- Corpocesar</t>
  </si>
  <si>
    <t>ubdirección de Gestión Ambiental</t>
  </si>
  <si>
    <t>Liliana Cadena</t>
  </si>
  <si>
    <t>Oficina Jurídica</t>
  </si>
  <si>
    <t>Jefe de Oficina</t>
  </si>
  <si>
    <t>oficinajuridica@corpocesar.gov.co</t>
  </si>
  <si>
    <t>Ver ejecución presupuestal Proyecto 2.4</t>
  </si>
  <si>
    <t>TL.A. Tiempo efectivo de duración del trámite de otorgamiento de concesiones de agua (número de días)</t>
  </si>
  <si>
    <t>TP.E. Tiempo efectivo de duración del trámite de otorgamiento de un permiso de aprovechamiento forestal (número de días)</t>
  </si>
  <si>
    <t>3202.05 Gestión del SIRAP y/o implementación de otras estrategias de conservación de la biodiversidad y formulación e implementación y apoyo de PM de AP en el dpto del Cesar</t>
  </si>
  <si>
    <t xml:space="preserve">3208.01 Fortalecimento de la participación ciudadana en la Gestión ambiental,  con enfoque endógeno y/o cultural,   intergeneracional, y consensual para promover el desarrollo ECOsocial en el dpto del Cesar.  </t>
  </si>
  <si>
    <t>3208.02 Fortalecimiento y optimización del programa transversal de Educación Ambiental de la Corporación, armonizado a la Política Nacional de Educación Ambiental de Colombia, en el contexto de la propuesta DEPARTAMENTO DEL CESAR - CORPOCESAR– 2020: "Por la sustentabilidad de la vida".</t>
  </si>
  <si>
    <t>3208.03 Planeación, gestión e Implementación de acciones  para el manejo de conflictos socioambientales  asociados a la productividad económica y/o uso de RN en áreas estratégicas del Cesar.</t>
  </si>
  <si>
    <t>Número de usuarios de permisos de emisiones atmosféricas a 31/12/2020</t>
  </si>
  <si>
    <t>Número de permisos de emisiones atmosféricas vigentes a 31/12/2020</t>
  </si>
  <si>
    <t>|</t>
  </si>
  <si>
    <t>V1 Seminario</t>
  </si>
  <si>
    <t>PolGet V1</t>
  </si>
  <si>
    <t>SEVCA DE CORPOCESAR (ZONA MINERA)</t>
  </si>
  <si>
    <t>SVCA DE CORPOCESAR (VALLEDUPAR)</t>
  </si>
  <si>
    <t>Transferencia de conocimientos sobre Negocios Verdes y Marketing Digital
Impulso de la oferta, demanda de bienes y servicios sostenibles, provenientes de recursos renovables de los negocios verdes del departamento del Cesar.</t>
  </si>
  <si>
    <t>Singararé</t>
  </si>
  <si>
    <t>2802-02</t>
  </si>
  <si>
    <t>Se reporta 0,1460 has degradadas en recuperación o rehabilitación, pero la matriz no acepta decimales por lo que no se logró reportar el indicador.</t>
  </si>
  <si>
    <t>ADRIAN IBARRA</t>
  </si>
  <si>
    <t>ADRIAN IBARA</t>
  </si>
  <si>
    <t xml:space="preserve">ADRIAN IBARRA </t>
  </si>
  <si>
    <t>El indicador no se reporta ya que la Corporación formuló y adoptó el POF en vigencias anteriores. Es decir, la meta se cumplió desde la vigencia 2016 que fue adoptado el POF según resolución 1235 de 2017</t>
  </si>
  <si>
    <t>Delimitado</t>
  </si>
  <si>
    <t xml:space="preserve">Paramo Sierra Nevada de Santa Marta </t>
  </si>
  <si>
    <t>Resolucion 1404 de 2018 Expedida por MADS</t>
  </si>
  <si>
    <t>Resolucion 151 de 2018 expedida por MADS</t>
  </si>
  <si>
    <r>
      <t xml:space="preserve">(1) </t>
    </r>
    <r>
      <rPr>
        <b/>
        <sz val="10"/>
        <color rgb="FFFF0000"/>
        <rFont val="Arial Narrow"/>
        <family val="2"/>
      </rPr>
      <t>LINEAS ESTRATEGICAS</t>
    </r>
    <r>
      <rPr>
        <b/>
        <sz val="10"/>
        <rFont val="Arial Narrow"/>
        <family val="2"/>
      </rPr>
      <t xml:space="preserve"> -
PROGRAMAS - PROYECTOS </t>
    </r>
    <r>
      <rPr>
        <b/>
        <sz val="10"/>
        <color rgb="FFFF0000"/>
        <rFont val="Arial Narrow"/>
        <family val="2"/>
      </rPr>
      <t>Y ACTIVIDADES</t>
    </r>
    <r>
      <rPr>
        <b/>
        <sz val="10"/>
        <rFont val="Arial Narrow"/>
        <family val="2"/>
      </rPr>
      <t xml:space="preserve"> DEL PLAN DE ACCIÓN 2020-2023
(inserte filas cuando sea necesario)
</t>
    </r>
  </si>
  <si>
    <t>(25)
OBSERVACIONES</t>
  </si>
  <si>
    <t>(26)
PROGRAMA DE INVERSIÓN PUBLICA A LA QUE APORTA</t>
  </si>
  <si>
    <t>(27)
IMG AL QUE  APORTA</t>
  </si>
  <si>
    <r>
      <t xml:space="preserve">(28)
</t>
    </r>
    <r>
      <rPr>
        <b/>
        <sz val="10"/>
        <color rgb="FFFF0000"/>
        <rFont val="Arial Narrow"/>
        <family val="2"/>
      </rPr>
      <t>INDICADOR</t>
    </r>
    <r>
      <rPr>
        <b/>
        <sz val="10"/>
        <color indexed="8"/>
        <rFont val="Arial Narrow"/>
        <family val="2"/>
      </rPr>
      <t xml:space="preserve"> ODS AL QUE LE APORTA</t>
    </r>
  </si>
  <si>
    <t>COD. FUENTE</t>
  </si>
  <si>
    <t>SCRIP</t>
  </si>
  <si>
    <t xml:space="preserve">   (2) UNIDAD DE MEDIDA</t>
  </si>
  <si>
    <t>(3)META FISICA ANUAL
 (Según unidad de medida)</t>
  </si>
  <si>
    <t>(4)
AVANCE DE LA META
FISICA  
(Según unidad de medida y Periodo Evaluado)</t>
  </si>
  <si>
    <t>(4A)
AVANCE DEL REZAGO DE LA META
FISICA 
(Según unidad de medida y Periodo Evaluado)</t>
  </si>
  <si>
    <t xml:space="preserve">(6) FECHA DE EJECUCION DE  LA EVIDENCIA </t>
  </si>
  <si>
    <t xml:space="preserve">(7) TIPO DE EVIDENCIA </t>
  </si>
  <si>
    <t>(7-A) ACCIONES DE FUNCIONAMIENTO</t>
  </si>
  <si>
    <t>(7-B) ESTADO CONTRATO</t>
  </si>
  <si>
    <t>(7-B.1) N° CONTRATO</t>
  </si>
  <si>
    <t>(8) VALOR</t>
  </si>
  <si>
    <t>(8-A) PAGO DEL CONTRATO</t>
  </si>
  <si>
    <t>(8-B) FECHA DE PAGO</t>
  </si>
  <si>
    <t>(9)
PORCENTAJE DE AVANCE PROCESO DE GESTION DE LA META
FISICA
(aplica unicamente para el informe del primer semestre)</t>
  </si>
  <si>
    <t xml:space="preserve"> (10) META FISICA DEL PLAN (Según unidad de medida)</t>
  </si>
  <si>
    <t>(11) ACUMULADO DE LA META FISICA (Según unidad de medida)</t>
  </si>
  <si>
    <t>(12) PORCENTAJE DE AVANCE FISICO ACUMULADO % 
((11/10)*100)</t>
  </si>
  <si>
    <r>
      <t>(13)               PONDERACIONES DE PROGRAMAS, PROYECTOS</t>
    </r>
    <r>
      <rPr>
        <b/>
        <sz val="10"/>
        <color rgb="FFFF0000"/>
        <rFont val="Arial Narrow"/>
        <family val="2"/>
      </rPr>
      <t xml:space="preserve"> Y ACTIVIDADES</t>
    </r>
  </si>
  <si>
    <t>(14) PONDERACIONES DE PROGRAMAS  Y PROYECTOS VIGENCIA 2021 (OPCIONAL DE ACUERDO AL PLAN DE ACCIÓN)</t>
  </si>
  <si>
    <t>(15) META FINANCIERA ANUAL  ($)</t>
  </si>
  <si>
    <t>(16) AVANCE DE LOS RECURSOS COMPROMETIDOS (Recursos comprometidos periodo Evaluado) ($)</t>
  </si>
  <si>
    <t>(17)  PORCENTAJE DEL AVANCE DE COMPROMISOS % (Periodo Evaluado) 
((16/15)*100)</t>
  </si>
  <si>
    <t>(18) AVANCE DE LOS RECURSOS OBLIGADOS $</t>
  </si>
  <si>
    <r>
      <t>(19) PORCENTAJE DE AVANCE DE LOS RECURSOS OBLIGADOS  (AVANCE FINANCIERO) ((18/</t>
    </r>
    <r>
      <rPr>
        <b/>
        <sz val="10"/>
        <color rgb="FFFF0000"/>
        <rFont val="Arial Narrow"/>
        <family val="2"/>
      </rPr>
      <t>15</t>
    </r>
    <r>
      <rPr>
        <b/>
        <sz val="10"/>
        <rFont val="Arial Narrow"/>
        <family val="2"/>
      </rPr>
      <t>)*100)</t>
    </r>
  </si>
  <si>
    <t>(20) RESERVA PRESUPUESTAL $
(16-18)</t>
  </si>
  <si>
    <t>(21) RESERVA PRESUPUESTAL DEL 2020
$</t>
  </si>
  <si>
    <t>(21-A) OBLIGACIONES DE LA RESERVA 2020
 $</t>
  </si>
  <si>
    <t>(21-B) PORCENTAJE DE AVANCE EJECUCIÓN DE LA RESERVA $
(21-A/21)</t>
  </si>
  <si>
    <t>(22)                                         META FINANCIERA   DEL PLAN             ($)</t>
  </si>
  <si>
    <t xml:space="preserve">(23) AVANCE 
ACUMULADO DE LA META
FINANCIERA (REC. COMPROMETIDOS
$
</t>
  </si>
  <si>
    <t xml:space="preserve">(24)
PORCENTAJE DE  AVANCE FINANCIERO ACUMULADO %
((23/22)*100)
</t>
  </si>
  <si>
    <t>LINEA ESTRATEGICA 4. GESTIÓN PARA LA PRODUCCIÓN SOSTENIBLE</t>
  </si>
  <si>
    <t>PROGRAMA 3201. FORTALECIMIENTO DEL DESEMPEÑO AMBIENTAL DE LOS SECTORES PRODUCTIVOS</t>
  </si>
  <si>
    <t>Proyecto 3201.01 Gestión e implementación de estrategias para la recuperación y conservación de la flora y fauna en el Departamento del Cesar, en armonía con el proyecto 3202.02</t>
  </si>
  <si>
    <t>3201.01.01. Acciones para la implementación de Proyectos de PSA en áreas de interés en el marco del Programa Nacional de PSA. (meta nacional: 260.000 Ha PSA)</t>
  </si>
  <si>
    <t>Número de Acciones coordinadas</t>
  </si>
  <si>
    <t xml:space="preserve">a) Se apoyó en la formulación de un esquema de PSA para la cuenca del Rio Garupal Diluvio y el Rio Manaure. (Estrategia Colombiana de Desarrollo Bajo en Carbono).
b) Se realizó convenio interadministrativo con la Corporación Mas Bosques, para la implementación de un esquema de PSA denominado BANCO2, beneficiando a 50 familias en zona rural del municipio de Aguachica, área de influencia de la empresa NUTRESA financiador del proyecto.
</t>
  </si>
  <si>
    <t>57~La asistencia oficial para el desarrollo y el gasto público en la conservación y el uso sostenible de la diversidad biológica y los ecosistemas</t>
  </si>
  <si>
    <t>3201.01.02.(A) Gestión de Áreas bajo esquemas de Pagos por Servicios Ambientales (PSA) e incentivos a la conservación: fortalecimiento de capacidades, instrumentación jurídica, gestión y articulación institucional, evaluación y seguimiento, y sostenibilidad financiera.</t>
  </si>
  <si>
    <t>Hectáreas bajo esquemas de PSA e incentivos a la conservación</t>
  </si>
  <si>
    <t xml:space="preserve">Se establecieron 50 Hectáreas de siembra de especies nativas para la restauración ecológica y conservación bajo esquema PSA, mediante acuerdos de voluntades con las familias beneficiadas.
</t>
  </si>
  <si>
    <t>3201.01.02(B) Gestión de sistemas bajo esquemas de Pagos por Servicios Ambientales (PSA) e incentivos a la conservación: fortalecimiento de capacidades, instrumentación jurídica, gestión y articulación institucional, evaluación y seguimiento, y sostenibilidad financiera.</t>
  </si>
  <si>
    <t>Número PSA en sistemas productivos</t>
  </si>
  <si>
    <t xml:space="preserve">Se apoyó en la formulación de un esquema de PSA para la cuenca del Rio Garupal Diluvio, Guatapurí y en el Rio Manaure. (Estrategia Colombiana de Desarrollo Bajo en Carbono), de los cuales se ejecutará en la vigencia 2022 el proyecto: Implementación de un modelo pilto de PSA en la cuenca del río Guatapurí.
</t>
  </si>
  <si>
    <t>3201.01.03. Implementación de estrategia enfocada a la bioeconomía para la sostenibilidad productiva en el uso de los recursos naturales (conservación de los ecosistemas estratégicos en armonía con el proyecto 1.1)</t>
  </si>
  <si>
    <t>Número Lineamientos estratégicos sostenibles formulados y con seguimiento y evaluación</t>
  </si>
  <si>
    <t>N.A</t>
  </si>
  <si>
    <t>No se implementó la estrategia, ya que solo se avanzó en la identificación y apoyo de aquellos negocios verdes enfocados a la bioeconomia y se proyecta adelantar en la vigencia 2022.</t>
  </si>
  <si>
    <t>70~Número de estrategias sostenibles de turismo o políticas y planes de acción implementados, con un seguimiento acordado, y herramientas de evaluación.</t>
  </si>
  <si>
    <t>3201.01.04. Formulación e implementación del Plan Departamental de Negocios Verdes</t>
  </si>
  <si>
    <t>Número Plan formulado e implementado</t>
  </si>
  <si>
    <t xml:space="preserve">N.A </t>
  </si>
  <si>
    <t>De conformidad al Plan Departamental de Negocios Verdes, se implementaron acciones mediante el convenio interadministrativo No. 19-7-0001-0-2021, con objeto: Aunar esfuerzos técnicos, administrativos y financieros para el fortalecimiento de la oferta institucional en productividad sostenible y protección de la biodiversidad, a través del desarrollo de actividades que fomenten el crecimiento y promoción de los negocios verdes y la economía circular, en el departamento del cesar</t>
  </si>
  <si>
    <t>3201.01.05.(A) Implementación de las ventanillas de negocios verdes y articulación con los incentivos existentes.</t>
  </si>
  <si>
    <t>Número Negocios verdes identificados y verificados</t>
  </si>
  <si>
    <t>Se realizaron las verificaciones de los negocios verdes inscritos en las convocatorias de la vigencia de 2021, en apoyo al MADS y las registradas por CORPOCESAR.</t>
  </si>
  <si>
    <t>3201.01.05(B). Fortalecimiento de las ventanillas de negocios verdes y articulación con los incentivos existentes..</t>
  </si>
  <si>
    <t>Número Negocios verdes apoyados</t>
  </si>
  <si>
    <t>Se apoyaron 40 negocios verdes en el fortalecimiento de sus marcas y 3 de ellos en la participación de la feria Nacional BIOEXPO 2021, mediante la ejecución del convenio No. 19-7-0001-0-2021 con objeto: Aunar esfuerzos técnicos, administrativos y financieros para el fortalecimiento de la oferta institucional en productividad sostenible y protección de la biodiversidad, a través del desarrollo de actividades que fomenten el crecimiento y promoción de los negocios verdes y la economía circular, en el departamento del Cesar.</t>
  </si>
  <si>
    <t>Proyecto 3201.02.Gestión, coordinación,  e implementación de políticas locales de resiliencia y sostenibilidad ambiental urbana en el área de jurisdicción de Corpocesar.</t>
  </si>
  <si>
    <t>3201.02.01. Optimización del proceso de construcción y reporte de ICAU/PGAU ((aire, movilidad, SSPD, CC, PGIR, PSMV, PUEAA, Etc)</t>
  </si>
  <si>
    <t>Porcentaje Reporte de Norma transmitido</t>
  </si>
  <si>
    <t>El 7 de octubre de 2021, se remitió comunicación a los Coordinadores de los GIT de Corpocesar, Alcaldes y representantes de las Empresas de Servicios Públicos con jurisdicción en el departamento del Cesar, para que se evalúen los ICAU directos e indirectos, recibiendo respuesta de la empresa CENS, la cual reporto el ICAU para consumo de energía eléctrica en 6 municipios.</t>
  </si>
  <si>
    <t>No aplica</t>
  </si>
  <si>
    <t>3201.02.02. Participación en el proceso de ajuste de la Política de Gestión ambiental urbana y desarrollo de indicadores en conjunto con el MADS- DAASU-.</t>
  </si>
  <si>
    <t>Porcentaje Participación institucional a convocatorias del MADS-DAASU-</t>
  </si>
  <si>
    <t>Esta participación se da en la medida que el MADS haga el requerimiento, se envio comunicación al MADS solicitando información sobre los probables eventos o reuniones encaminados al ajuste de la política de gestión ambiental urbana</t>
  </si>
  <si>
    <t>3201.02.03. Gestión para la Incorporación de la biodiversidad y servicios ecosistémicos en la planificación urbana a través del ordenamiento ambiental del territorio (GAU).</t>
  </si>
  <si>
    <t>Número de Política pública de GAU socializada e incorporada a las DA</t>
  </si>
  <si>
    <t xml:space="preserve">a) Mediante recorrido efectuado el 10 de abril de 2021, se realizó diagnóstico en la margen derecha del río Guatapurí, enfocado en la acequia Guatapurí - Salguero - Los Mayales, a su paso por los barrios o asentamientos humanos ubicados entre las carreras 1 y 4 de la ciudad de Valledupar (según el POT-VALLEDUPAR, localizados en zona de riesgo alto y medio por inundación), en el cual se hizo evidente que el municipio no ha dado cumplimiento a los requerimientos formulados por la entidad en materia de gestión ambiental de la margen derecha del río Guatapurí a su paso por las inmediaciones de la ciudad de Valledupar. 
Esta actividad tiene relación con la gestión ambiental urbana, y de ella se derivó informe técnico de fecha 19 de abril de 2021, entregado a las directivas de la entidad y las coordinaciones de Seguimiento al Aprovechamiento del Recurso Hídrico, Saneamiento Básico y de PML-RESPEL, con el objetivo de que cada instancia realice el análisis a que haya lugar y tome las decisiones pertinentes en materia de gestión ambiental en el entorno urbano y suburbano en la ciudad de Valledupar.  
b) Se presto apoyo a la definición de las determinantes ambientales que debe establecer CORPOCESAR, mediante el aporte de información y conceptos a las fichas denominadas MN - 09 MANANTIALES DE AGUA Y RONDAS HÍDRICAS y MN 10 ZONAS DE RECARGA DE LOS SISTEMAS ACUÍFEROS DEL DEPARTAMENTO DEL CESAR, ante la solicitud de la SGAP del 15 de abril de 2021.
c) El 02 de junio de 2021, se divulgó a las coordinaciones de la SGAGA, el contenido de la directiva 004 Protección Especial del Suelo Rural y Memorando 001-2020 Determinantes Ambientales, como norma para el desarrollo de proyectos, publicada por la PGN.
</t>
  </si>
  <si>
    <t>Proyecto 3201.03.Gestión y apoyo regional a  la implementación de la estrategia nacional de Economía  circular y  economía ambiental para la producción sostenible</t>
  </si>
  <si>
    <t>3201.03.01. Promoción del aprovechamiento y valorización de residuos sólidos en el marco de los PGIRS. (incluye Socialización de esquemas de posconsumo y campañas conjuntas con los sistemas en el marco de educación para la gestión responsable de los residuos)</t>
  </si>
  <si>
    <t>Número Campañas educativas realizadas</t>
  </si>
  <si>
    <t xml:space="preserve">
Se realizaron tres jornadas educativas de recolección de residuos peligrosos e inservibles en los municipios de Astrea, Curumaní y Valledupar.
</t>
  </si>
  <si>
    <t>222~Tasa nacional de reciclado, toneladas de material reciclado</t>
  </si>
  <si>
    <t>3201.03.02. Apoyo a la implementación de acciones para el desarrollo de la economía circular en el manejo de los residuos sólidos (proyectos pilotos)</t>
  </si>
  <si>
    <t>Número Proyectos pilotos apoyados</t>
  </si>
  <si>
    <t>Se apoyaron los negocios, INGEQUILIBRIO S.A.S BIC, con la asistencia a la feria Bioexpo 2021,  y el negocio CARIBE MAS LIMPIO, participó del encuentro con la Misión Europea, este apoyo se dio en marco del convenio con objeto: Aunar esfuerzos técnicos, administrativos y financieros para el fortalecimiento de la oferta institucional en productividad sostenible y protección de la biodiversidad, a través del desarrollo de actividades que fomenten el crecimiento y promoción de los negocios verdes y la economía circular, en el departamento del Cesar</t>
  </si>
  <si>
    <t>78~Número de países con planes de acción nacionales de consumo y producción sostenibles incorporados como prioridad o meta en las políticas nacionales</t>
  </si>
  <si>
    <t>3201.03.03. Participación en Mesas Regionales de Economía Circular en el marco de las Comisiones Regionales de Competitividad</t>
  </si>
  <si>
    <t>Porcentaje Participación en CRC</t>
  </si>
  <si>
    <t xml:space="preserve">
Se participó en la Mesa Regional de Economía Circular, en desarrollo de la socialización de la Estrategia Nacional de Economía Circular para ventanillas regionales de negocios verdes, realizada el 17 de junio de 2021
</t>
  </si>
  <si>
    <t>3201.03.04 (A). seguimiento a la implementación de los PGIRS en el componente de aprovechamiento de residuos</t>
  </si>
  <si>
    <t>Número PGIRS apoyados y con seguimiento</t>
  </si>
  <si>
    <t>Se realizó seguimiento a los 25 municipios del departamento.</t>
  </si>
  <si>
    <t>3201.03.04 (B) Acompañamiento al proceso de actualización de los PGIRS, para garantizar inclusión de proyectos de aprovechamiento de residuos</t>
  </si>
  <si>
    <t xml:space="preserve"> Porcentaje PGIRS evaluados</t>
  </si>
  <si>
    <t>NA</t>
  </si>
  <si>
    <t>Se revisó el 100% de los PGIRS (La Paz, La Gloria)  presentados al comité evaluador del cual CORPOCESAR hace parte.</t>
  </si>
  <si>
    <t>3201.03.05. Apoyo al desarrollo de Proyectos pilotos de eliminación de plásticos de un solo uso. (hoteles, restaurantes y similares)</t>
  </si>
  <si>
    <t>Se apoyaron los proyectos pilotos, Paseo Vallenato Tour, Productos del valle, Conserva Natural Encantador, Café Maven, Picante Leo, Dulcería NAEDER y Villa Adelaida S.A.S, con los que sostuvimos encuentros de formación donde se abordaron temas de, turismo natural, biodiversidad del Cesar, manejo adecuado de residuos y desechos plásticos de un solo uso que generan contaminación.</t>
  </si>
  <si>
    <t xml:space="preserve">3201.03.06. Gestión para la implementación de proyectos pilotos de biocomercio y turismo rural en ecorregiones estratégicas </t>
  </si>
  <si>
    <t xml:space="preserve">Se apoyaron proyectos pilotos de emprendimientos con el fortalecimiento del marketing digital y el impulso de  bienes y servicios a través del desarrollo de la participación en ferias regionales de Negocios Verdes, en el marco del convenio: Aunar esfuerzos técnicos, administrativos y financieros para el fortalecimiento de la oferta institucional en productividad sostenible y protección de la biodiversidad, a través del desarrollo de actividades que fomenten el crecimiento y promoción de los negocios verdes y la economía circular, en el departamento del Cesar.
</t>
  </si>
  <si>
    <t>Proyecto 3201.04. Apropiación de la Ciencia ambiental  y de la tecnología para promover la producción sostenible en el dpto. del Cesar</t>
  </si>
  <si>
    <t xml:space="preserve">3201.04.01 Conocimiento de potencialidad, promoción y apoyo a la implementación de proyectos de Energías renovables </t>
  </si>
  <si>
    <t>Número Proyectos de energías renovables promovidos y/o en desarrollo</t>
  </si>
  <si>
    <t>En la vigencia 2021 se inició la gestión ante la UPME de un proyecto para la implementación de sistemas de energía solar en instituciones educativas del municipio de Valledupar.</t>
  </si>
  <si>
    <t>161~Proporción de la energía renovable en el consumo final total de energía</t>
  </si>
  <si>
    <t xml:space="preserve">3201.04.02 Promoción de procesos de mitigación y adaptación al cambio climático en Sectores productivos (Minería, agropecuario y comercio) </t>
  </si>
  <si>
    <t>Número Lineamientos establecidos/ sector</t>
  </si>
  <si>
    <t>Con la actualización de las determinantes ambientales, se creó una ficha específica para la incorporación del cambio climático en el ordenamiento territorial, en la cual se establecen lineamientos y criterios para tener en cuenta las medidas de mitigación y adaptación que deban priorizar los municipios de acuerdo a la problemática identificada.</t>
  </si>
  <si>
    <t>1~No aplica</t>
  </si>
  <si>
    <t>3201.04.03. Valoración económica ambiental y cuantificación del capital natural en el PIB dptal.</t>
  </si>
  <si>
    <t>Porcentaje Avance de estudio</t>
  </si>
  <si>
    <t>3201.04.04. Participación en procesos intersectoriales de Salud Ambiental de los COTSA, a través de las mesas técnicas conformadas.</t>
  </si>
  <si>
    <t xml:space="preserve"> Porcentaje de Participación en Mesas técnicas</t>
  </si>
  <si>
    <t>Se participó en 12 reuniones COTSA de 14 programadas con el fin de sensibilizar a la comunidad en el cuidado del ambiente, el agua, prevención de intoxicaciones y adecuada disposición final de residuos sólidos, de sustancias químicas en uso agrícola y doméstico, y jornada de recolección de residuos postconsumo COTSA.</t>
  </si>
  <si>
    <t>3201.04.05. Apoyo a la Implementación la Política Integral de Salud Ambiental a nivel territorial, desde las competencias de las CAR.</t>
  </si>
  <si>
    <t>PorcentajeAvance de la política territorial de Salud ambiental</t>
  </si>
  <si>
    <t xml:space="preserve">Se apoyo  en  la formulacion del mapa de riesgo del municipio de Valledupar. </t>
  </si>
  <si>
    <t xml:space="preserve">Proyecto 3201.05. Gestión integral  del suelo  para la recuperación de este recurso natural  en el departamento del Cesar.  </t>
  </si>
  <si>
    <t xml:space="preserve">3201.05.01 Implementación de las acciones planteadas en el PAR para mitigar los efectos de la desertificación y la sequía en armonía con el proyecto 1.1 (estrategia de reforestación, restauración, agricultura y ganadería sostenible, estufas ecológicas, monitoreo </t>
  </si>
  <si>
    <t>Número Acciones del PAR ejecutadas</t>
  </si>
  <si>
    <t>Se elaboró los estudios previos y presupuesto para la contratación de la realización de acciones para la implementación del plan de acción regional de lucha contra la desertificación y la sequía, y el manejo del bosque seco tropical en las cuencas de los ríos Garupal y Diluvio, municipios de Valledupar y el Copey Cesar, de acuerdo a los alcances y especificaciones técnicas contempladas por CORPOCESAR. Además se instalaraon estufas ecológicas en veredas del municipio de Valledupar, cuenca Garupal Diluvio, como acciones de lucha contra la desertificación en este ecosistema.</t>
  </si>
  <si>
    <t>143~Porcentaje de tierras degradadas en comparación con la superficie total</t>
  </si>
  <si>
    <t xml:space="preserve">3201.05.03 Actualizar e implementar el plan de gestión Integral de residuos peligrosos en el marco de la política RESPEL junto al cumplimiento de la Directiva ministerial 2019 </t>
  </si>
  <si>
    <t>Número Plan RESPEL revisado y actualizado</t>
  </si>
  <si>
    <t>No se cuenta con el Plan de Gestión Integral de Residuos Peligrosos para llevar a cabo la revisión y la actualización. Se tiene proyectado contratarlo en la vigencia 2022</t>
  </si>
  <si>
    <t>3201.05.02 Generación de espacios académicos para el conocimiento del recurso suelo (posibles alianzas con la academia)</t>
  </si>
  <si>
    <t xml:space="preserve"> Número Espacios académicos realizados</t>
  </si>
  <si>
    <t>En el marco del simposio "Planificacion Territorial para la inclusion de las Determinantes Ambientales y Estrategia de desarrollo sosteniblel" se abordaron temáticas como desertificación de los suelos del Cesar.</t>
  </si>
  <si>
    <t>37~Grado en el que (i) la educación para la ciudadanía global y (ii) la educación para el desarrollo sostenible (incluyendo educación sobre el cambio climático) son establecidos en (a) las políticas nacionales de educación (b) los planes de estudio (c) la formación del profesorado y (d) evaluación de los alumnos</t>
  </si>
  <si>
    <t>3201.05.05 Capacitación y desarrollo de campañas a los diferentes actores sobre el manejo ambientalmente racional de RESPEL y fortalececimiento de las actividades de IVC a generadores e instalaciones licenciadas</t>
  </si>
  <si>
    <t>Número Capacitación y/o campañas/año</t>
  </si>
  <si>
    <t xml:space="preserve">a) En conjunto con la alcaldía de la Jagua de Ibirico, se realizaron campañas pedagógicas en gestión RESPEL en los establecimientos expendedores de combustible. 
b) Al sector porcicultor, con el acompañamiento de la Agencia Ambiental y Porkolombia.
c) Capacitación a las IPS, sobre la aplicación del nuevo código de colores para la gestión de residuos, incluyendo los RESPEL, asociados a la atención del COVID-19. 
d) Como fortalecimiento de las actividades de IVC, se cuentan con los seguimientos a las estaciones de servicios de hidrocarburos y generadores de residuos peligrosos.
</t>
  </si>
  <si>
    <t>3201.05.04 Mejoramento del proceso de validación de información del Registro de Generadores de RESPEL y del Inventario Nacional de PCB</t>
  </si>
  <si>
    <t>Porcentaje Nivel de Registro RESPEL</t>
  </si>
  <si>
    <t xml:space="preserve">Se llevó a cabo la transmisión del 100% de los registros reportados por las empresas que cuentan con equipos de contenido PCB, y se apoyó al IDEAM en la consolidación de la información de generación de RESPEL en el departamento del Cesar.
</t>
  </si>
  <si>
    <t>Proyecto 3201.06. Gestión integral del recurso aire, articulada a  la prioridad regional del MADS,  en áreas estratégicas del dpto del Cesar</t>
  </si>
  <si>
    <t>3201.06.01. Territorialización de la Estrategia Nacional de Calidad del Aire (fortalecimiento del proceso regional del SEVCA - Corpocesar)</t>
  </si>
  <si>
    <t>Número Estrategia Nal implementada a nivel regional</t>
  </si>
  <si>
    <t>3201.06.03. Diseño e implementación de plan de prevención, control y reduccion de la contaminación del aire, en municipios con población igual o superior a 150.000 habitantes y zonas industriales o mineras de alto impacto. (armonizado a la PGAU).</t>
  </si>
  <si>
    <t>Número Plan de reducción y prevención en ejecución</t>
  </si>
  <si>
    <t xml:space="preserve">a) Se establecieron pautas para la actualización del programa de disminución de la contaminación del aire.
b) Se ejecutaron actividades para la prevención, control y reducción de la contaminación en los municipios de la zona centro del Cesar, La Jagua de Ibirico, El Paso, Chiriguaná y Becerril, identificando y gestionando el saneamiento de botaderos satélites de residuos sólidos, identificando eventos de contaminación por tráfico en  vías sin pavimento y gestiones con los diferentes actores para minimizarla, se gestionó el barrido de algunas calles en el Corregimiento de La Loma Cesar, se implementaron jornadas de educación ambiental en las diferentes localidades mencionadas para disminuir la incidencia de las quemas de residuos sólidos, se realizaron  jornadas de siembra de árboles para que haya una mejor calidad de aire en la zona
c) Se desarrollaron mesas de trabajo entre el MADS, ANLA, Gobernación del Cesar y representantes de las alcaldías del sector minero (La Jagua de Ibirico, Agustín Codazzi, Becerril, Chiriguaná y El Paso) en el marco de una actualización del PRCA existente, se cuenta con un documento en construcción, se estima un avance del 45% a la fecha.
</t>
  </si>
  <si>
    <t>3201.06.05 Implementación de fuentes móviles de control</t>
  </si>
  <si>
    <t>Número FM en operación (equipo, RH y vehículo).</t>
  </si>
  <si>
    <t xml:space="preserve">Para el cumplimiento de esta actividad se requieren instrumentos de monitoreo, por lo cual se realizó solicitud y relación de necesidades la subdirección general del área administrativa y financiera para el apoyo y gestión en la adquisición de los equipos e instrumental de monitoreo de fuentes móviles, oficio interno SGAGA-CGIT-LABA-0131 </t>
  </si>
  <si>
    <t>3201.06.02. Optimización y Fortalecimento del Sistema de Moniterio de Calidad de Aire del Cesar. (acreditación, dotación, técnicas y operación de la red, cobertura y sostenibiidad))</t>
  </si>
  <si>
    <t>Porcentaje Avance de optimización de la Red.</t>
  </si>
  <si>
    <t xml:space="preserve">a) Se gestionaron e instalaron dos (2) equipos nuevos de calidad de aire uno en la estación ZM20 Costa hermosa parámetro PM10 (Wilbur) y el segundo en ZM13 El Hatillo parámetro PM2.5 (Wilbur). Esta decisión se tomó teniendo en cuenta las criticidades de las estaciones en mención y la nueva reclasificación de áreas fuentes para garantizaran las mediciones constantes.
b) El día 17 de diciembre de 2021 se realizó instalación y puesta en marcha del PolGet urbano (poste inteligente que medirá de forma indicativa parámetros de calidad del aire, meteorología y ruido ambiental) en la ciudad de Valledupar.
c) El laboratorio ambiental de Corpocesar actualmente se encuentra acreditado por el IDEAM, por medio de la Res. 1415 de 2019 para monitoreos de calidad de aire y agua y cuenta con 16 estaciones de calidad de aire para medición de los contaminantes criterio PM10 y PM2.5, con representatividad de las estaciones superiores al 75%. Actualmente se encuentra en proceso de seguimiento la acreditación de parámetros en la matriz aire y agua. Se solicitó visita para el seguimiento y extensión de la acreditación en las matrices: Agua y Aire ante el IDEAM, radicado número 20219910030762 del 31 de mayo de 2021, 
d) Se realizó diagnóstico del estado de los equipos y elementos del LABA, se presentó relación de equipos y elementos requeridos de forma prioritaria en el LABA para ser distribuidos y repotenciadas algunas estaciones.
e) Se realizó gestión, adquisición e ingreso y puesta en marcha de tres (3) nuevos multiparámetros de campo para medir parámetros In Situ en la matriz agua Oxígeno disuelto, conductividad, temperatura, pH.
</t>
  </si>
  <si>
    <t>3201.06.04. Control y monitoreo de fuentes móviles y áreas fuentes en áreas estratégicas de la jurisdicción.</t>
  </si>
  <si>
    <t>Porcentaje Cobertura de áreas fuentes monitoreadas</t>
  </si>
  <si>
    <t>Se adelantó en conjunto con la coordinación de seguimiento ambiental una campaña con los CDA para determinar cuál de ellos tienen equipos móviles para el monitoreo de fuentes móviles y establecer una estrategia que nos permita dar cumplimiento a este indicador.</t>
  </si>
  <si>
    <t>3201.06.06.Identificación de fuentes fijas de emisión</t>
  </si>
  <si>
    <t>Número Estudio realizado</t>
  </si>
  <si>
    <t>No se realizo en la vigencia 2021 dado a dificultades administrativas que dificultaron la contrattacion los servicios de consultoria para el desarrollo de este estudio, por lo tanto se tiene priorizado para su ejecucion en la vigencia 2022</t>
  </si>
  <si>
    <t>3201.06.09 Evaluación de las estaciones de monitoreo de CA de la jurisdicción para verificar cumplimiento a la meta del PND 2018-2022 y/o rediseñar estrategias de prevención y control.</t>
  </si>
  <si>
    <t>Número Evaluación/año</t>
  </si>
  <si>
    <t>Constantemente se realiza verificación de los equipos de monitoreo para garantizar que las mediciones se realicen de acuerdo al protocolo de monitoreo de calidad de aire Res. 2154 de 2010, con el objetivo que sean representativas y determinantes para implementar los planes de prevención y control de la contaminación del aire, las actividades operativas realizadas corresponden a calibraciones, verificación de flujos, mantenimientos periódicos de las 16 estaciones del SVCA, de acuerdo a los planes de monitoreo.</t>
  </si>
  <si>
    <t>3201.06.07 Control y seguimiento a fuentes fijas de emisión</t>
  </si>
  <si>
    <t>Porcentaje Control y seguimiento</t>
  </si>
  <si>
    <t>Se programaron realizar 41 visitas de seguimiento y control a fuentes fijas de emisión, se desarrollaron 37</t>
  </si>
  <si>
    <t>3201.06.08 Gestión, comunicación y evaluación interinstitucional de la información de la CA.</t>
  </si>
  <si>
    <t>Porcentaje SIA de Aire operando con efectividad.</t>
  </si>
  <si>
    <t>La información sobre la calidad del aire está cargada hasta el mes de diciembre de 2021, garantizando la disponibilidad de la información ambiental y su consulta por los usuarios del sistema.</t>
  </si>
  <si>
    <t>PROGRAMA 3206. GESTIÓN DEL CAMBIO CLIMÁTICO PARA UN DESARROLLO BAJO EN CARBONO Y RESILIENTE AL CLIMA</t>
  </si>
  <si>
    <t>Proyecto 3206.01  Implementación y evaluación de acciones del Plan Integral de Gestión de Cambio Climático -PIGCC- Territorial del Cesar</t>
  </si>
  <si>
    <t>3206.01.01 Gestión e implementación de Estrategias y/o Proyectos de mitigación y adaptación al cambio climático, en el marco de los planteamientos del -PIGCC- Territorial del Cesar</t>
  </si>
  <si>
    <t>Número de estrategias y/o proyectos del PIGCC, implementados o promovidos</t>
  </si>
  <si>
    <t xml:space="preserve">a) Se formuló un proyecto a través del convenio de Cooperación número 041 de 2021 entre Fondo Acción y Corpocesar, el cual busca la implementación de medidas integrales para la mitigación de Gases de Efecto Invernadero (GEI), el objetivo de este proyecto es lograr la disminución de emisiones de gases de efecto invernadero mediante la preservación y restauración de coberturas vegetales nativas e implementación de prácticas agrícolas sostenibles ambientalmente en áreas estratégicas del Parque Natural Regional Serranía del Perijá y Cuenca Garupal Diluvio.
b) Se encuentra en ejecución en la vigencia 2022 el proyecto denominado: implementación de acciones de mitigación del cambio climático en zonas rurales de los municipios de Valledupar, La Paz, Manaure, San Diego y Agustín Codazzi del departamento del Cesar el cual se ejecuta en la cuenca Garupal Diluvio y en el Parque Natural Regional Serranía del Perijá, comprende la construcción de 625 estufas ecológicas, talleres de capacitación y socialización del PIGCCT Cesar 2032.
c) En ejecución el Plan de Manejo del Distrito Regional de Manejo Integrado DRMI Complejo Cenagoso de Zapatosa CCZ
d) Se ejecutó el convenio interadministrativo con el Resguardo Indígena Kankuamo que tiene por objeto: Aunar esfuerzos técnicos, económicos y/o administrativos para la implementación de actividades ambientales con enfoque diferencial en el territorio ancestral del pueblo indígena Kankuamo en la Sierra Nevada de Santa Marta, departamento del Cesar
</t>
  </si>
  <si>
    <t>88~Número de países que han comunicado el establecimiento o la puesta en funcionamiento de una estrategia/plan/política integrada que aumenta su capacidad para adaptarse a los efectos adversos del cambio climático y fomenta la resiliencia al cambio climático de bajas emisiones de gases efecto invernadero de una manera que no amenace la producción de comida (incluyendo un plan nacional de adaptación, contribución determinada a nivel nacional, comunicación nacional, informe bienal de actualización, u otros) .</t>
  </si>
  <si>
    <t>3206.01.02 Implementación del SIA de cambio climático dptal y apoyo efectivo al sistema de Registro Nacional de Reducción de Emisiones de Gases de Efecto Invernadero - RENARE</t>
  </si>
  <si>
    <t>Porcentaje Avance del SIA -CC y apoyo a RENARE</t>
  </si>
  <si>
    <t>En funcionamiento el Link corpocesar (condiciones alertas ambientales, boletin especial sobre ciclones tropicales, variabilidad climática cambio climático, pronóstico del tiempo) https://www.corpocesar.gov.co/files/BOLETIN%20ESPECIAL%20SOBRE%20CICLONES%20TROPICALES%20_%2015%20DE%20JULIO%20DE%202021.pdf</t>
  </si>
  <si>
    <t>3206.01.03 Fortalecimiento de la participación y gestión de Corpocesar, en el Nodo Regional de Cambio Climático -NRCC- del Caribe</t>
  </si>
  <si>
    <t>Porcentaje Agenda intersectorial del NRCC Caribe articulada y apoyada.</t>
  </si>
  <si>
    <t xml:space="preserve">a) Se participó activamente en el primer encuentro del NORECCI, donde se presentaron los avances de iniciativas en la región, y se llevó a cabo un taller para identificar las necesidades actuales de los integrantes del Nodo y otros actores relevantes del orden regional.
b) Se participó en el taller para la Construcción del Plan de Acción del Nodo Regional de Cambio Climático Caribe e Insular - NORECCI.
</t>
  </si>
  <si>
    <t>89~Número de países que han comunicado el fortalecimiento de la capacidad institucional, sistémica e individual para implementar la adaptación, la mitigación y la transferencia de tecnología, y acciones desarrolladas</t>
  </si>
  <si>
    <t>Proyecto 3206.02 Implementación de acciones para la operación de la EDANA en el área de jurisdicción de Corpocesar</t>
  </si>
  <si>
    <t>3206.02.01 Gestión para la implementación de la Metodología que permita al sector ambiente realizar una evaluación de daños y necesidades ambientales -EDANA en zonas continentales impactadas por desastres naturales, socionaturales y/o antrópicos</t>
  </si>
  <si>
    <t>Porcentaje Adopción de la Metodología EDANA</t>
  </si>
  <si>
    <t xml:space="preserve">Ante la respuesta dada por el MADS en el segundo semestre del 2020 para el avance en la adopción de la metodología (EDANA - C), se sostuvo la segunda jornada de capacitación dictada por el MADS al GIT de la coordinación para la GRD de CORPOCESAR, para el comienzo del aprendizaje de la metodología. Para el efecto, se tomó como base la actuación de la entidad, a través del grupo interno de trabajo de la Coordinación para la GRD, la evaluación de los efectos de incendios de la cobertura vegetal ocurridos en el mes de marzo de 2021 en las cuencas de los ríos Garupal y Diluvio, en el piedemonte de la Sierra Nevada de Santa Marta, municipio de Valledupar. El informe respectivo está en proceso de ajuste, luego de la elaboración de la primera versión del mismo durante el taller de capacitación a que se ha hecho referencia.
La inspección de campo, base para la EDANA-C, se llevó a cabo mancomunadamente con la Oficina Jurídica de la entidad, mediante una visita desarrollada el 31 de marzo de 2021, para la atención de una queja presentada por personas que habitan en las zonas afectadas por los incendios en citas.  El informe a la Oficina Jurídica se rindió el día 07 de abril de 2021. El Informe definitivo de la aplicación de la metodología EDANA - C sobre el caso se envió al MADS el 18 de junio y en oficio de la SGAP 6/7/2021.
</t>
  </si>
  <si>
    <t>75~Número de países con estrategias nacionales y locales para la reducción del riesgo de desastres</t>
  </si>
  <si>
    <t>3206.02.02 Implementación PILOTO de EDANA en zona priorizada</t>
  </si>
  <si>
    <t>Porcentaje Avance del piloto EDANA</t>
  </si>
  <si>
    <t xml:space="preserve">La implementación completa del piloto de la metodología EDANA-C se podrá dar en la medida en que se haga presencia en las zonas que eventualmente resultaron afectadas por los eventos naturales desastrosos, con el fin de complementar la información destinada a la formulación de las acciones propuestas en el respectivo informe de la metodología EDANA-C. La ejecución de estas medidas o propuestas pertenece a una fase posterior, en la cual la metodología EDANA-C este aprobada por el MADS a la fecha se encuentra publicada la versión 3 de un documento preliminar en la página web del MADS, se espera sea publicada la versión definitiva a mediados del segundo semestre de 2022. 
Para la aplicación de la metodología EDANA – C se requiere de la utilización del software ARCGIS por lo cual se suscribió la orden de compra 82795 del 15 de diciembre de 2021 y se adjudicó el proceso de compra de equipos de cómputo que alojaran el software.
</t>
  </si>
  <si>
    <t>3206.02.03 Diseño, Gestión e institucionalización operativa de EDANA Corpocesar</t>
  </si>
  <si>
    <t>Número EDANA en operación</t>
  </si>
  <si>
    <t>Proyecto 3206.03 Gestión de conocimiento e implementación de medidas para la  reducción del riesgo ambiental en áreas prioritarias del dpto. del Cesar.</t>
  </si>
  <si>
    <t>3206.03.01 Gestión y ejecución de Acciones de conocimiento para la reducción del riesgo asociado al cambio climático, enmarcadas en la GRD. (Estudios de detalle)</t>
  </si>
  <si>
    <t>Número Acciones de conocimiento del riesgo ejecutadas</t>
  </si>
  <si>
    <t>Se ejecutó el Convenio No.19-7-0004-0-2021, cuyo objeto es: Aunar esfuerzos técnicos, administrativos y financieros para la realización de estudios básicos de riesgo de desastres del municipio de La Paz, Cesar, en el marco del decreto 1807 de 2014 (compilado decreto 1077 de 2015) así como la formulación de la agenda de cambio climático para el Municipio, en el marco de la Ley 1931 de 2018 suscrito con el municipio de La Paz, se encuentra en evaluación de los productos entregados.</t>
  </si>
  <si>
    <t>3206.03.02 Gestión e implementación de Medidas estructurales y/o proyectos para la REDUCCION del riesgo</t>
  </si>
  <si>
    <t>Porcentaje Medidas estructurales ejecutadas</t>
  </si>
  <si>
    <t xml:space="preserve">a) Se ejecutó mediante contrato N° 19-6-0023-0-2021 cuyo objeto es medidas estructurales para prevención de inundaciones en Guacoche a través de la recuperación hidráulica y ambiental de la laguna de Guacoche y control del desbordamiento del caño el arroyito en el corregimiento de Guacoche, municipio de Valledupar.
b) Se realizó convenio con los municipios de Chiriguana y Curumaní para la implementación de medidas estructurales y no estructurales para el control de la erosión e inundación de la corriente superficial ANIME que será ejecutado en 2022. 
</t>
  </si>
  <si>
    <t>3206.03.03 (A) Gestión, implementación y evaluación de Medidas no estructurales y/o proyectos para la REDUCCION del riesgo</t>
  </si>
  <si>
    <t>Número Medidas no estructurales ejecutadas</t>
  </si>
  <si>
    <t xml:space="preserve">Como medidas no estructurales, se adelantaron: 
Primer semestre 
a) Jornadas de campo en la margen derecha del río Guatapurí y zonas aledañas caracterizando las situaciones que en materia de amenaza, vulnerabilidad y riesgo de origen natural se presentan en la zona. De estas actuaciones se rindieron los informes correspondientes que sirvieron de base para que la Dirección General y la Oficina Jurídica de la entidad emitieran comunicados dirigidos a la Alcaldía del Municipio de Valledupar, ordenando que se adelantaran acciones que impidan la degradación de la ribera del río Guatapurí a su paso por las inmediaciones de la ciudad de Valledupar. 
b) Se participó en jornadas de capacitación y organización comunitaria en materia de prevención de incendios forestales, en la zona de la unidad de bosque seco tropical de las cuencas de los ríos Garupal y Diluvio (en el marco de la ECC Garupal - Diluvio). 
c) Se ejecutaron actividades de evaluación de áreas afectadas por incendios de la cobertura vegetal, en las zonas de la vereda Azúcar buena, La Guitarra, El Saltillo, Las Cumbres, Nuevo Mundo Villero, se realizaron charlas de educación ambiental y de prevención de incendios de la cobertura vegetal, y recolectó información sobre los presuntos responsables de las actividades de quemas que han causado desastres en zonas de importancia ambiental.
d) Se dictó charla sobre prevención de incendios a los miembros de la empresa que opera la red de calidad de aire de CORPOCESAR. 
e) Se sostuvo reunión con la Dirección Nacional de Bomberos y los CBV del Cesar para analizar las necesidades de apoyo logístico, a partir de lo cual se trabaja en la proyección de estudios previos para la dotación de los cuerpos de bomberos con sede en el Cesar, de equipos para prevención y atención de incendios. 
Segundo semestre. 
a) Se firmó convenio con el cuerpo de bomberos del municipio del Copey el cual fue finalizado por mutuo acuerdo debido a dificultades financieras de este.               El convenio realizado con el cuerpo de bomberos de Valledupar se prorrogo hasta febrero de 2022.
b) Se adelantaron actividades de capacitación en la conformación de brigadas forestales para la prevención de incendios en las veredas La Iberia, Agustín Codazzi y la Guitarra en Valledupar
c) Se participó en los Consejos Departamentales y municipales de Gestión del Riesgo.
</t>
  </si>
  <si>
    <t>3206.03.03 (B)Evaluación de Medidas no estructurales y/o proyectos para la REDUCCION del riesgo</t>
  </si>
  <si>
    <t>Número Medidas no estructurales evaluadas</t>
  </si>
  <si>
    <t xml:space="preserve">Primer semestre. El 10 de abril de 2021 se realizó un diagnóstico de la margen derecha del río Guatapurí, enfocado en la acequia Guatapurí - Salguero - Los Mayales, en el cual se hizo evidente que el municipio no ha dado cumplimiento a los requerimientos formulados por la entidad en materia de gestión ambiental de la margen derecha del río Guatapurí a su paso por las inmediaciones de la ciudad de Valledupar.
De lo anterior se dio cuenta en informe del 19 de abril de2021, para los fines pertinentes, entregado a las directivas de la entidad y las coordinaciones de Seguimiento al Aprovechamiento del Recurso Hídrico, Saneamiento Básico y de PML-RESPEL. 
Segundo semestre.  El 10 de julio de 2021 se realizó recorrido de las cuencas de los arroyos Seco y Arena en La Victoria de San Isidro, para evaluar la posibilidad de adelantar una evaluación de amenaza por avenidas torrenciales, en el marco del PMCA del río Calenturitas.
En el mes de octubre de 2021 se realizó reunión virtual solicitada al Servicio Geológico Colombiano, para analizar la respuesta  que dicha entidad emitió, en torno al apoyo para la realización del estudio de amenaza por AVT que es necesario como paso previo a la construcción de obras hidrodinámicas, compromiso establecido en el  POMCA, y con el que se apuntaría a dar cumplimiento; en la reunión, el SGC reitero y explicó que la zona es de prioridad baja para llevar a cabo el estudio; como resultado, se realizó una comisión de campo en el mes de noviembre de 2021, con la que se levantó información adicional para verificar las condiciones del área y programar así una nueva cita con el SGC.
</t>
  </si>
  <si>
    <t>LINEA ESTRATÉGICA 5. GESTIÓN DE ASUNTOS AMBIENTALES SECTORIALES</t>
  </si>
  <si>
    <t>PROGRAMA 3202. CONSERVACIÓN DE LA BIODIVERSIDAD Y SUS SERVICIOS ECOSISTÉMICOS</t>
  </si>
  <si>
    <t>Proyecto 3202.01 Gestión e implementación de acciones integrales para la restauración ecológica en el departamento del Cesar</t>
  </si>
  <si>
    <t>3202.01.01. Identificaciòn y priorizacion de las zonas prioritarias para restaurar y recuperar en las cinco (5) ERE del Dpto.</t>
  </si>
  <si>
    <t>ERE con zonas identificadas y priorizadas para restaurar y recuperar.</t>
  </si>
  <si>
    <t>Se priorizaron las siguientes áreas estratégicas:                                                                                                a) Ecorregión Ciénaga de Zapatosa                                                                                                                b) áreas para restaurar en el PNR Perijá, las cuales se establecieron a partir de la Construcción del portafolio de proyectos en núcleos activos de deforestación y del portafolio de áreas prioritarias para las compensaciones orientadas a la conservación de la biodiversidad, restauración ecológica y el desarrollo sostenible en jurisdicción de CORPOCESAR.</t>
  </si>
  <si>
    <t>39~Hacia la ordenación forestal sostenible</t>
  </si>
  <si>
    <t>3202.01.02. Formulación e implementación de proyectos de restauración Ecològica Integral - REI-en alianzas con actores claves. (metodologia SER)</t>
  </si>
  <si>
    <t>Número Proyectos de restauración Ecologica Integral - REI- gestionados y en implementaciòn.</t>
  </si>
  <si>
    <t>Se contrató el proyecto para la restauración de areas degradadas en las Microcuencas del Rio Magiriamo, y para la implementación de acciones en el Bosque seco en el municipio de Becerril</t>
  </si>
  <si>
    <t>3202.01.03. Monitoreo, seguimiento y evaluaciòn de las acciones de REI en implementaciòn</t>
  </si>
  <si>
    <t>Número Sistema de monitoreo y reporte implementado por proyecto.</t>
  </si>
  <si>
    <t>Se han realizado monitoreos y seguimientos  a las acciones realizadas en ejecucion del proyecto Magiriaimo y Bosque seco</t>
  </si>
  <si>
    <t>3202.01.04. Reporte, comunicación y divulgación de la evolución del proceso de REI.</t>
  </si>
  <si>
    <t>Número Sistema de reporte, comunicación y divulgación implementado</t>
  </si>
  <si>
    <t>Se han realizado publicaciones de comunicaciones y boletines de la evolución de los procesos de restauración ecológica en la página web de CORPOCESAR.
https://www.corpocesar.gov.co/boletines_de_prensa-1.html, así como para la identificación de alertas tempranas de deforestación.</t>
  </si>
  <si>
    <t>Proyecto 3202.02 Coordinación y Desarrollo de portafolios de sistemas sostenibles de conservación - SSC- (conservación, restauración, manejo sostenible, agroforestales, reconversión productiva) en el departamento del Cesar</t>
  </si>
  <si>
    <t>3202.02.01. Coordinación, concienciación de actores entorno al proceso de visión de sistemas sostenibles de conservación -SSC-</t>
  </si>
  <si>
    <t>Número de Grupos de actores conformados para el desarrollo del SSC</t>
  </si>
  <si>
    <t xml:space="preserve">a) Se conformaron actores en marco del contrato N° 19-7-0008-0-2020 para la conservación del bosque seco tropical Bs-T, a través de un núcleo de restauración/conservación comunitaria que contribuye a la conectividad y protección en el municipio de Becerril, departamento del Cesar,
b) Proyecto de 10 hectáreas de unidades agroforestales con frutales de mango, cultivo de patilla y arboles maderables con su correspondiente aislamiento y facilidades de riego que se desarrolla en la comunidad indígena de Tezhumque, perteneciente al pueblo Wiwa
c) Proyecto para la Restauración de Áreas Degradadas en las microcuencas del rio Magiriamo jurisdicción de CORPOCESAR.
d) Organización de brigadistas forestales de Garupal Diluvio
</t>
  </si>
  <si>
    <t>3202.02.02 Diseño conjunto de un modelo y estrategias para la implementación de SSC</t>
  </si>
  <si>
    <t>Porcentaje de avance del modelo de SSC</t>
  </si>
  <si>
    <t>Se diseño el Proyecto PSA Guatapuri</t>
  </si>
  <si>
    <t>3202.02.03. Gestión sinérgica para la promoción y creación de capacidad técnica para la implementación del manejo SSC.</t>
  </si>
  <si>
    <t>Número Grupos asistidos técnicamente</t>
  </si>
  <si>
    <t xml:space="preserve">a) Se desarrolló asistencia técnica en marco del contrato N° 19-7-0008-0-2020 para la conservación del bosque seco tropical Bs-T, a través de un núcleo de restauración/conservación comunitaria que contribuye a la conectividad y protección en el municipio de Becerril, departamento del Cesar 
b) Se asistió a la comunidad indígena de Tezhumque, perteneciente al pueblo Wiwa
c) Proyecto para la Restauración de Áreas Degradadas en las microcuencas del Rio Magiriamo en un área de 10 hectáreas de unidades agroforestales con frutales de mango, cultivo de patilla y arboles maderables, con su correspondiente aislamiento y facilidades de riego.
</t>
  </si>
  <si>
    <t>3202.02.04 Apoyo a la implementación, seguimiento y evaluación de proyectos pilotos y/o estratégicos de SSC</t>
  </si>
  <si>
    <t>Número Proyectos formulados y apoyados con seguimiento y evaluación</t>
  </si>
  <si>
    <t xml:space="preserve">a) Se realiza seguimiento y evaluación en marco del contrato N° 19-7-0008-0-2020 para la conservación del bosque seco tropical Bs-T, a través de un núcleo de restauración/conservación comunitaria que contribuye a la conectividad y protección en el municipio de Becerril, departamento del Cesar.
b) Proyecto de 10 hectáreas de unidades agroforestales con frutales de mango, cultivo de patilla y arboles maderables con su correspondiente aislamiento y facilidades de riego que se desarrolla en la comunidad indígena de Tezhumque, perteneciente al pueblo Wiwa.
c) Proyecto para la Restauración de Áreas Degradadas en las microcuencas del rio Magiriamo jurisdicción de CORPOCESAR
d) En diciembre de 2021 se realizó convenio de asociación por proceso competitivo para entidades sin ánimo de lucro, para la implementación de acciones de restauración en áreas de interés estratégico en la serranía del Perijá fase I
</t>
  </si>
  <si>
    <t>Proyecto 3202.03 Implementación de la estrategia de control integral en los núcleos de deforestación priorizados en el Cesar, (en coordinación institucional con el MADS).</t>
  </si>
  <si>
    <t>3202.03.01. Apoyo al IDEAM en monitoreo y seguimiento a los agentes y causas de deforestación</t>
  </si>
  <si>
    <t>Porcentaje de Participación requerida apoyada</t>
  </si>
  <si>
    <t>A través del programa RIQUEZA NATURAL iniciativa del IDEAM y de USAID se fortaleció la capacidad de la Corporación a través de la generación de un sistema de detecciones tempranas de cambios en ecosistemas estratégicos del Caribe y la Orinoquía Colombiana. Estas acciones permitieron visualizar por medio de los boletines las áreas y núcleos de deforestación en la Corporación, así como hacer un seguimiento más eficiente al proceso de deforestación que se tiene en Corpocesar. Permitió conocer las metodologías y protocolos que se tienen desde el IDEAM para la identificación de las detecciones tempranas a partir de la identificación de polígonos de deforestación.</t>
  </si>
  <si>
    <t>3202.03.03.(A) Desarrollo de acciones de prevención de la deforestación</t>
  </si>
  <si>
    <t>Porcentaje de Participación requerida en la actualización del marco regulatorio asociado al manejo forestal sostenible</t>
  </si>
  <si>
    <t>Se asistieron a 5 reuniones con el MADS donde se abordaron temas acerca del marco regulatorio asociado al manejo forestal, en cuanto a los aprovechamientos forestales y definición de áreas.</t>
  </si>
  <si>
    <t>3202.03.03.(B) Desarrollo de acciones de control  a la deforestación</t>
  </si>
  <si>
    <t>Porcentaje de Avance de Instrumentos de control (SUN-L, Libro de Operaciones) implementado/año</t>
  </si>
  <si>
    <t>Se recibieron capacitaciones con el MADS para la implementación de este instrumento. Se brindó capacitación a 5 empresas de madera sobre LOFL de las 12 registradas.</t>
  </si>
  <si>
    <t>Número Portafolio de proyectos coordinado y formulado</t>
  </si>
  <si>
    <t>Número  Proyectos gestionados</t>
  </si>
  <si>
    <r>
      <t xml:space="preserve">Se ejecutó la construcción del portafolio de proyectos en núcleos activos de deforestación y del portafolio de áreas prioritarias para las compensaciones orientadas a la conservación de la biodiversidad, restauración ecológica y el desarrollo sostenible en jurisdicción de CORPOCESAR.                                                                                                                                                        Se gestionaron proyectos ante el MADS en la convocatoria realizada para acceder a recursos del porcentaje ambiental de regalías, a través de la presentación de 4 proyectos, de los cuales quedó en lista de elegibles el proyecto: </t>
    </r>
    <r>
      <rPr>
        <i/>
        <sz val="10"/>
        <rFont val="Arial Narrow"/>
        <family val="2"/>
      </rPr>
      <t>"Mejoramiento ambiental de la cuenca hidrográfica río Calenturitas a través de acciones de restauración en áreas degradadas localizadas en el municipio de La Jagua de Ibirico en el departamento del Cesar"</t>
    </r>
    <r>
      <rPr>
        <sz val="10"/>
        <rFont val="Arial Narrow"/>
        <family val="2"/>
      </rPr>
      <t xml:space="preserve">
</t>
    </r>
  </si>
  <si>
    <t>3202.03.04. Ajuste e Implementación de acciones prioritarias del POF del Cesar (armonía con actividad 5.2.2 y 5.2.5)</t>
  </si>
  <si>
    <t>Número  Acciones implementadas</t>
  </si>
  <si>
    <t xml:space="preserve">Se contrató la construcción del portafolio de proyectos en núcleos activos de deforestación y del portafolio de áreas prioritarias para las compensaciones orientadas a la conservación de la biodiversidad, restauración ecológica y el desarrollo sostenible en jurisdicción de CORPOCESAR.
</t>
  </si>
  <si>
    <t>3202.03.05 Establecer proyectos para uso y aprovechamiento forestal comunitarios del bosque que permitan su uso sostenible</t>
  </si>
  <si>
    <t>Número de proyectos establecidos</t>
  </si>
  <si>
    <t xml:space="preserve">a) Proyecto de 12 hectáreas de unidades agroforestales para comunidades afrodescendientes establecidas en la jurisdicción de la Corporación Autónoma Regional del Cesar. 
b) Se ejecutó el convenio No. 19-7-0-0009-0-2021 del 23 de septiembre de 2021, con la Asociación de Familias Productoras Indígenas SEYNEKUN, para la implementación de una estrategia de fortalecimiento de capacidades empresarial de unidades productivas con participación de comunidades indígenas del municipio de Pueblo Bello – Cesar, que promuevan el uso y aprovechamiento forestal comunitario del bosque de la Sierra Nevada de Santa Marta de manera sostenible.
</t>
  </si>
  <si>
    <t>3202.03.06. Promoción y fortalecimiento de espacios de participación como plataforma de articulación para la promoción de la cultura forestal y reducción de la deforestación</t>
  </si>
  <si>
    <t>Número de reuniones de articulación y armonización de las acciones para la gestión de los bosques</t>
  </si>
  <si>
    <t xml:space="preserve">a) Se asistió a reuniones con la alcaldía de Valledupar y otros actores para la promoción de las especies que existen en la ciudad y promover la cultura forestal en el municipio y el departamento del Cesar, incentivando la reducción de la deforestación.
b) Se realizaron reuniones con DRUMOND, Empresas de Teléfonos de Bogotá, Proyecto Solares ISA, entre otras estrategias de conservación y Bosque seco tropical.
</t>
  </si>
  <si>
    <t>Proyecto 3202.04 Fortalecimiento de gobernanza forestal en la jurisdicción de Corpocesar</t>
  </si>
  <si>
    <t>3202.04.01 Registrar con libro de operaciones el 100% de las Empresas forestales en la jurisdicción</t>
  </si>
  <si>
    <t>Porcentaje de Avance del proceso</t>
  </si>
  <si>
    <t xml:space="preserve">En el primer semestre de 2021, se informó del registro de 12 empresas de las cuales  6  no reposa información de los antecedentes y reporte del registro en la entidad según la revisión documental (Omaira Pino Galvis, TUREDEZ SAS, Maderas el Brasil, Muebles el Edén, Taller de pintura CHARD, Pavajeau Urbina y la empresa MADERAS COLOMBIA DE VALLEDUPAR SAS se encuentra liquidadas. Por lo anterior, sólo se registraron debidamente 5 empresas.
En el segundo semestre de 2021 se inscribieron 6 empresas nuevas: Maderas el Jordán, El Campano,  Maderas el Caribe, Diseños Aguilar, el Zanjon, Maderas la 44 Y Maderas Colombianas S.A.S Para un total de 12 empresas registradas de las 12 identificadas.
</t>
  </si>
  <si>
    <t>3202.04.02 Establecer un proyecto piloto sostenible para la trasformación de la materia prima del bosque, que contribuyan con el uso sostenible de productos maderables y no maderables del bosque</t>
  </si>
  <si>
    <t>Se ejecutó Convenio N° 19-7-0009-0-2021, Aunar esfuerzos técnicos, administrativos y Financieros para la implementación de una estrategia de fortalecimiento de capacidades empresariales de unidades productivas con participación de comunidades indígenas del Mpio de Pueblo Bello - Cesar que promuevan el uso y aprovechamiento forestal comunitario del Bosque de la Sierra Nevada de Santa Marta de manera sostenible</t>
  </si>
  <si>
    <t>3202.04.03 Promover y otorgar los Esquemas de Reconocimiento a la Legalidad a los usuarios del bosque y empresas forestales</t>
  </si>
  <si>
    <t>Número de Esquemas otorgados de Reconocimiento a la Legalidad de usuarios del bosque y de empresas forestales.</t>
  </si>
  <si>
    <t>Se realizó visita de verificación a 9 empresas que solicitaron reconocimiento, las cuales no cumplieron con los requisitos mínimos de Ley.</t>
  </si>
  <si>
    <t>3202.04.04 Realizar operativos de control al tráfico de flora.</t>
  </si>
  <si>
    <t>Número de Operativos de control al tráfico de flora</t>
  </si>
  <si>
    <t>Se realizaron 4 operativos en las siguientes fechas: 26 de marzo de 2021 Puesto de Control Los Cauchos salida a Bosconia, 09 de junio de 2021 Puesto de Control El Doral; Vía Aguachica San Martín, Municipio de Aguachica - Cesar, 19 de agosto de 2021 Puesto de Control Vía Codazzi - Casacará, Municipio de Codazzi, Cesar, y 13 de octubre de 2021 en el retén de Los Cauchos de Valledupar.</t>
  </si>
  <si>
    <t xml:space="preserve">Proyecto 3202.05 Gestión del SIRAP  y/o implementación de otras estrategias de conservación de la biodiversidad y formulación e implementación y apoyo de PM  de AP  en el dpto. del Cesar. </t>
  </si>
  <si>
    <t>3202.05.01 (A) Formulación e implementación del PM del DRMI del Complejo Cenagoso de Zapatosa (RAMSAR Zapatosa)</t>
  </si>
  <si>
    <t>Porcentaje Plan formulado (avance)</t>
  </si>
  <si>
    <t xml:space="preserve">En el marco de la Comisión Conjunta CORPOCESAR Y CORPAMAG, y el memorando de entendimiento suscrito entre CORPOCESAR, CORPOMAG Y FUNDACION NATURA proyecto GEF Magdalena - Cauca, se desarrollaron acciones orientadas a la realización de las fases de preparación, aprestamiento en su totalidad y se avanzó en un 70% en las fases de formulación y de Ordenamiento (zonificación) componente estratégico del citado PM. 
Se realizaron con alcaldías, AUNAP, gobernación, contactos locales 5 mesas de trabajo de manera presencial, además se realizaron 6 reuniones internas, en el marco de dicho proceso, con CORPOMAG, CORPOCESAR y Fundación Natura.
</t>
  </si>
  <si>
    <t>191~Proporción de sitios importantes para la biodiversidad terrestre y de agua dulce que están cubiertos por las áreas protegidas, por tipo de ecosistema</t>
  </si>
  <si>
    <t>3202.05.01 (B) Formulación e implementación del PM del DRMI del Complejo Cenagoso de Zapatosa (RAMSAR Zapatosa)</t>
  </si>
  <si>
    <t>Número de Acciones de PM implementadas.</t>
  </si>
  <si>
    <t xml:space="preserve">a) Se realizaron reuniones CIDEAM Chimichagua y Tamalameque enfoque Cultura del agua y Manejo Residuos Sólidos, PM DRMI CCZ. 
b) Se suscribió el contrato de obra 172 de 2021 con UT NATURA VIDA 2022, con objeto: Implementación de estrategias para la conservación, uso sostenible de la biodiversidad y restauración de los servicios ecosistémicos del complejo cenagoso de Zapatosa, en el municipio de Chimichagua, departamento del Cesar.
El cual contempla las siguientes acciones: 
a) Aislamiento de 250 hectáreas de áreas de importancia estratégicas para la restauración espontanea (pasiva). Establecimiento de 120 hectáreas de sistemas agroforestales.
b) Aislamiento de 120 hectáreas para sistemas agroforestales. realización de 10 talleres de socialización, capacitación y sensibilización ambiental dirigidos a los beneficiarios del proyecto, dicho contrato se encuentra en ejecucion,
c)  En el marco del convenio MADS y la WWF, se desarrolló el proceso entre CORPAMAG, CORPOCESAR Y WWF, para la aplicación de la herramienta de Efectividad y Manejo del Área Protegida EMAP DRMI CCZ, las cuales de realizaron a través de 3 reuniones virtuales. 
</t>
  </si>
  <si>
    <t>3202.05.05. Gestión para la formulación de PM de APR y otras estrategias de conservación</t>
  </si>
  <si>
    <t>Número Planes de manejo formulados</t>
  </si>
  <si>
    <t>3202.05.06. Gestión para la implementación de PM de APR y otras estrategias de conservación.</t>
  </si>
  <si>
    <t>3202.05.02 Desarrollo de estudios para la declaratoria de nuevas APR y/o otras estrategias de la conservación de la biodiversidad</t>
  </si>
  <si>
    <t>Número de Estudios realizados</t>
  </si>
  <si>
    <t>Esta acción se tiene prevista realizarla durante  el periodo 2022 - 2023, mediante el desarrollo del proceso para la declaratoria de un área en la parte media y alta de la serranía del Perijá, en jurisdicción de los municipios de Becerril y La Jagua de Ibirico - Cesar, un área aproximada a las 20.000 Hectáreas, además se ha estado en conversación con la administración municipal de San Martin - Cesar, la cual está interesada en elevar  a una  categoría de área de protección, la parte alta de la cuenca de la quebrada Torcoroma, fuente surtidora del acueducto de la cabecera municipal.</t>
  </si>
  <si>
    <t>3202.05.03. Desarrollo de procesos para la declaratoria de nuevas APR y/o otras estrategias de la conservación de la biodiversidad.</t>
  </si>
  <si>
    <t>Número de Procesos desarrollados</t>
  </si>
  <si>
    <t>3202.05.04. Declaratoria de nuevas APR y/o otras estrategias de la conservación de la biodiversidad.</t>
  </si>
  <si>
    <t>Area declarada P. (Ha)</t>
  </si>
  <si>
    <t>3202.05.07 Gestión, apoyo y articulación interinstitucional en el desarrollo de los sistemas de áreas protegidas (SINAP, SIRAP, SIDAP, SILAP)</t>
  </si>
  <si>
    <t>Número Sistemas apoyados</t>
  </si>
  <si>
    <t xml:space="preserve">Se suscribió el convenio marco No 001 entre las Autoridades Ambientales del Caribe Colombiano y se avanza en la ejecución del acuerdo específico No 003 con la CRA en el marco de la mesa subregional de Caribe Colombiano SIRAP Caribe, en el cual se apoyó la creación del SILAP Manaure mediante el acuerdo 014 de 2020 que contempla y tiene previsto apoyar la creación de los SILAP de los municipios de Agustín Codazzi y La Paz.
</t>
  </si>
  <si>
    <t>3202.05.08. Gestión e implementación de acciones en el Bosque seco tropical</t>
  </si>
  <si>
    <t>Número Acciones implementadas</t>
  </si>
  <si>
    <t xml:space="preserve">Se realizaron acciones para la implementación del Plan de Acción Regional de lucha contra la desertificación y la sequía, y el manejo del bosque seco tropical en las cuencas de los ríos Garupal y Diluvio de los municipios de Valledupar y el Copey Cesar, de acuerdo a los alcances y especificaciones técnicas contempladas por CORPOCESAR. 
Se ejecutó el convenio de asociación No.008 del 23 de noviembre de 2020 con la fundación CARBOANDES para el manejo del bosque seco en el municipio de Becerril
</t>
  </si>
  <si>
    <t>39~ Hacia la ordenación forestal sostenible</t>
  </si>
  <si>
    <t>3202.05.09 Gestión e implementación de acciones en humedales</t>
  </si>
  <si>
    <t xml:space="preserve">a) En ejecucion el Plan de Manejo ambiental del humedal de la ciénaga del Cristo en Tamalameque Cesar.
b) Se desarrollaron acciones de destaponamiento de caños en los municipios de Tamalameque y Chimichagua.
</t>
  </si>
  <si>
    <t>Proyecto 3202.06 Fortalecimiento, gestión e implementación de medidas para el manejo de la fauna en el dpto. del Cesar</t>
  </si>
  <si>
    <t>3202.06.01 Evaluación y Optimización del proceso operativo del CAVRFFS</t>
  </si>
  <si>
    <t>Número de Operatividad optimizada</t>
  </si>
  <si>
    <t xml:space="preserve">Se está realizando evaluación a todos los procesos del CAVRFFS y se encuentra en ejecución el convenio con ORNIAT para la operación del CAVRFFS </t>
  </si>
  <si>
    <t>3202.06.02 Implementación de acciones de los planes de manejo de la fauna amenazada</t>
  </si>
  <si>
    <t>Número de Acciones de los PM implementadas.</t>
  </si>
  <si>
    <t xml:space="preserve">a) Se desarrollaron acciones del Plan de Manejo del conflicto oso andino-humano en el parque regional serranía del Perijá (zona de paramos) 
b) Se está implementando el plan de manejo del conflicto felino - humano con programa de educación ambiental a las comunidades de la vereda la montaña corregimiento de Guaymaral municipio de La Paz, zona de influencia en presencia de felinos.
</t>
  </si>
  <si>
    <t>184~Proporción de países que adoptan legislación nacional relevante y adecuadamente dotan de recursos a la prevención o control de especies exóticas invasoras</t>
  </si>
  <si>
    <t>3202.06.03 Revisión, evaluación, ajuste e implementación de acciones de PM de especies invasoras (en armonía con objetivos del COTSA).</t>
  </si>
  <si>
    <t>Se está ejecutando el Plan de Manejo de Control del Caracol Africano (Achatina Fulica) en diferentes municipios del departamento del Cesar (Manaure, La Paz, Valledupar entre otros) especie invasora destructora de cultivos agrícolas y trasmisora de enfermedades en los seres humanos; se realizan jornadas educativas, demostrativas para que la ciudadanía aprenda el manejo y control de la especie invasora anteriormente mencionada y así la comunidad pueda continuar con su recolección manual y CORPOCESAR con su disposición final</t>
  </si>
  <si>
    <t>PROGRAMA 3203. GESTIÓN INTEGRAL DEL RECURSO HÍDRICO</t>
  </si>
  <si>
    <t>Proyecto 3203.01 Gestión integral del recurso hídrico y materialización de la ZOAT en el area de jurisdiccion de Corpocesar</t>
  </si>
  <si>
    <t>3203.01.01 Desarrollo de instrumentos de planificación y administración del recurso hídrico (desarrollo de nuevas fases de POMCAS)</t>
  </si>
  <si>
    <t>Fases de nuevos POMCAS adelantadas (4 fases)</t>
  </si>
  <si>
    <t xml:space="preserve">a) Se avanzó con la fase de acciones previas que comprende la consulta al Ministerio del Interior sobre la procedencia o no de la consulta previa con comunidades étnicas,
b) Se certificó a través de la Resolución ST – 0481, la presencia de las comunidades étnicas de la SNSM y Yukpa. 
c) Se avanzó en la formulación del proyecto para la elaboración del POMCA del río Medio Cesar.
</t>
  </si>
  <si>
    <t>35~ Grado de aplicación de la ordenación integrada de los recursos hídricos (0-100)</t>
  </si>
  <si>
    <t xml:space="preserve"> 3203.01.02. Desarrollo de instrumentos de planificación y administración del recurso hídrico (Implementación de acciones de POMCA)</t>
  </si>
  <si>
    <t>Acciones de POMCA implementadas (componentes de la fase 4).</t>
  </si>
  <si>
    <t xml:space="preserve">Se realizaron acciones:
a) Destaponamiento de caños y ciénagas
b) Monitoreo de agua y modelación hidráulica, en el complejo cenagoso de Zapatosa.
c) Monitoreo eco hidrológicos en la Ciénaga de Zapatosa
d) Acotamiento de ronda hídrica del río Guatapurí
e) Instalación y puesta en marcha de una estación hidrometeorológica en la parte baja de la cuenca del río Guatapurí
f) Campañas de sensibilización y concientización sobre el aprovechamiento de los recursos naturales de los POMCAs
g) Estructuración de un proyecto piloto para la implementación de PSA en la cuenca del río Guatapurí
h) Se definieron áreas estratégicas para la conservación del recurso hídrico en el área de los POMCAS
i) Se avanza en la formulación del PM del Distrito regional de manejo integrado del rio bajo Ciénaga Zapatosa
j) se avanza en la reforestación de la cuenca del rio Magiriaimo
k) Instalación de estufas ecológicas en jurisdicción de los POMCA Chiriaimo - Manaure y Magiriaimo.
</t>
  </si>
  <si>
    <t>3203.01.03. Desarrollo de instrumentos de planificación y administración del recurso hídrico (seguimiento y evaluación de POMCA)</t>
  </si>
  <si>
    <t>POMCA con seguimiento, coordinación y evaluación/año</t>
  </si>
  <si>
    <t>Se acopia información de las acciones que se vienen desarrollando en el proceso de la ejecución de los programas y proyectos que quedaron establecidos en la fase 4 de los POMCAS adoptados.</t>
  </si>
  <si>
    <t>3203.01.04. Desarrollo de instrumentos de planificación y administración del recurso hídrico (desarrollo de nuevas fases de los PMA de microcuencas)</t>
  </si>
  <si>
    <t>Nuevas Fases de los PMA de Microcuenca formulados</t>
  </si>
  <si>
    <t xml:space="preserve">En proceso de formulación el PMA de la microcuenca Singagarè, se surtió la fase de Aprestamiento y se avanza en el diagnóstico. </t>
  </si>
  <si>
    <t>3203.01.05. Desarrollo de instrumentos de planificación y administración del recurso hídrico (Implementación de acciones de PMA de microcuencas)</t>
  </si>
  <si>
    <t>Acciones de PMA de Microcuencas Implementadas/año</t>
  </si>
  <si>
    <t>Se ejecutó el Plan de Manejo de la Microcuenca quebrada Cuaré, ubicada en el municipio de La Gloria - Cesar, el cual se adoptó por CORPOCESAR mediante Resolución N° 0065 del 13 de febrero de 2019, se realizaron (reforestación y construcción de estufas eco eficientes). Además se adelantaron jornadas de capacitación y educación ambiental con pescadores en el municipio de La Gloria.</t>
  </si>
  <si>
    <t>3203.01.06. Desarrollo de instrumentos de planificación y administración del recurso hídrico (Implementación de acciones de PMA de acuiferos)</t>
  </si>
  <si>
    <t>Acciones de PMA de Acuíferos Implementadas/año</t>
  </si>
  <si>
    <t xml:space="preserve">Se avanzó con la realización de la primera y segunda jornada de actualización del inventario de puntos de manifestación de aguas subterráneas, en los municipios de Agustín Codazzi, Becerril del Campo y La Jagua de Ibirico, entre el 11 y el 17 de mayo de 2021 (116), y los días 01 al 04 de septiembre de 2021 (12), alcanzando la cifra de (128) puntos de agua caracterizados. Se levantó información sobre la tenencia del predio en que se ubica cada punto de manifestación de aguas subterráneas, las propiedades físicas del punto, el régimen de bombeo, el uso del agua y el diagnóstico sanitario de la captación como forma de caracterizar el sistema acuífero Cesar, lo cual está contemplado dentro de los proyectos identificados en el Plan de manejo ambiental del mismo.
</t>
  </si>
  <si>
    <t>3203.01.07. Desarrollo de instrumentos de planificación y administración del recurso hídrico (Implementación de otras acciones de planeación y gestión de acuiferos)</t>
  </si>
  <si>
    <t>Número de Otras acciones de planeación y gestión de Acuíferos Implementadas/año</t>
  </si>
  <si>
    <t xml:space="preserve">Del 31 de agosto al 04 de septiembre, se ejecutó una jornada de monitoreo de aguas subterráneas en los 7 piezómetros construidos por la Corporación, en los municipios de La Paz, Becerril, La Jagua de Ibirico, Chiriguaná, El Paso, Astrea, Chimichagua. Esta actividad da continuidad a lo contemplado en la política nacional de gestión integral del recurso hídrico en materia de monitoreo de la oferta hídrica en jurisdicción de la entidad. </t>
  </si>
  <si>
    <t>3203.01.08. Gestión y formulación de PORH. .</t>
  </si>
  <si>
    <t>Nuevo PORH formulado (S/. Prioridad)</t>
  </si>
  <si>
    <t xml:space="preserve">No registra  metas para esta vigencia </t>
  </si>
  <si>
    <t xml:space="preserve">3203.01.09 Implementación de acciones de PORH. </t>
  </si>
  <si>
    <t>Acciones de PORH implementadas/plan (R. Cesar, Calenturitas y Chiriaimo).</t>
  </si>
  <si>
    <t>Se formuló la resolución de adopción de corrientes hídricas objeto del PORH, y como acción de implementación del PORH del río Cesar, fue instalada una estación automática en la parte baja de la cuenca del río Guatapurí (afluente del río Cesar), en la cual se miden en tiempo real parámetros de calidad del agua tales como Temperatura, Ph, Oxígeno Disuelto, Conductividad Eléctrica.</t>
  </si>
  <si>
    <t xml:space="preserve">3203.01.12 Control y seguimiento a los PUEAA aprobados por la Corporación </t>
  </si>
  <si>
    <t>Cobertura de PUEAA con seguimiento (PUEAA seguimiento/Aprobados)</t>
  </si>
  <si>
    <t>9~Cambio en la eficiencia del uso del agua con el tiempo</t>
  </si>
  <si>
    <t xml:space="preserve">3203.01.10 Control y seguimiento a los PSMV aprobados por la Corporación </t>
  </si>
  <si>
    <t>Número PSMV´s con seguimiento/año</t>
  </si>
  <si>
    <t>Se practicaron las visitas semestrales de control y seguimiento a los 25 municipios y visitas de evaluación de modificación a los PSMV de La Paz, San Diego, Valledupar, Pueblo Bello, Becerril, Bosconia, San Martin, San Alberto, González, La Jagua de Ibirico y Agustín Codazzi.</t>
  </si>
  <si>
    <t>103~Porcentaje de aguas residuales tratadas de manera segura</t>
  </si>
  <si>
    <t>3203.01.11 Apoyo a implementación de  los PSMV  e implementación de acciones para el uso eficiente y descontaminación del recurso hídrico en el dpto. del Cesar. (armonización con proyecto 4.1)</t>
  </si>
  <si>
    <t>Número STAR apoyados (medida estructural y no estructural para disminuir la contaminación hídrica)/año</t>
  </si>
  <si>
    <t>La obra de optimización de la PTAR del corregimiento de Chimila se ejecuto en un  100%</t>
  </si>
  <si>
    <t>3203.01.13 Acotamiento de rondas hídricas e incorporación a las Determinantes ambientales (Cuerpos de agua priorizados: R. Guatapurí No 1). Armonización con el proyecto 3.1</t>
  </si>
  <si>
    <t>Número de Ronda hídrica acotada/año</t>
  </si>
  <si>
    <t xml:space="preserve">Se realizó el estudio de acotamiento de ronda hídrica del río Guatapurí, con una ejecución del 100% .
</t>
  </si>
  <si>
    <t>3203.01.14 Estructuración e implementación de una estrategia integral para la recuperación de ecosistemas en la cuenca del río Cesar (tipo APP). En armonía con el programa 5 y la actividad 2.4.2</t>
  </si>
  <si>
    <t>Porcentaje de Avance de la Estrategia integral estructurada e implementada</t>
  </si>
  <si>
    <t>Se formuló el proyecto integral denominado: Implementación de acciones integrales para la Recuperación ambiental del Ecosistema Natural Río Cesar, como soporte estratégico para la reactivación económica y el desarrollo social, en jurisdicción del Cesar.</t>
  </si>
  <si>
    <t>3203.01.15 Instalación de las denominadas "plataformas colaborativas" con el MADS, para la articulación de inversiones y acciones para la recuperación de ecosistemas degradados en torno a cuencas hidrográficas.</t>
  </si>
  <si>
    <t>Número de Plataforma colaborativa CAR-MADS, en operación</t>
  </si>
  <si>
    <t>Se conformó la plataforma colaborativa para la cuenca del río Calenturitas con actores públicos y privados a través de la firma de un Acuerdo de Voluntades el 24 de noviembre de 2021</t>
  </si>
  <si>
    <t>LINEA ESTRATÉGICA 3. GESTIÓN DEL ORDENAMIENTO AMBIENTAL TERRITORIAL Y GESTIÓN DEL RIESGO</t>
  </si>
  <si>
    <t>PROGRAMA 3205. ORDENAMIENTO AMBIENTAL TERRITORIAL</t>
  </si>
  <si>
    <t>Proyecto 3205.01 Fortalecimiento del proceso de Ordenamiento Territorial como estrategia  para promover el  desarrollo terrirorial sostenible, en el dpto del Cesar.</t>
  </si>
  <si>
    <t>3205.01.01 Actualización de las determinantes ambientales para el Ordenamiento territorial (énfasis en cambio climático, GRD, suelo suburbano, EEP)</t>
  </si>
  <si>
    <t>Porcentaje de  Avance de Determinantes Ambientales revisadas y actualizadas</t>
  </si>
  <si>
    <t>Se actualizaron las determinantes ambientales en la jurisdicción de CORPOCESAR con apoyo del programa de Riqueza Natural de USAID y MINISTERIO DE MEDIO AMBIENTE, estas fueron adoptadas por medio de la resolución No. 0247 de 24 de mayo de 2021.</t>
  </si>
  <si>
    <t>3205.01.02 Socialización y divulgación de las DA para el OT (cartografía temática compartida)</t>
  </si>
  <si>
    <t>Porcentaje Avance de Determinantes Ambientales socializadas</t>
  </si>
  <si>
    <t xml:space="preserve">Se realizó la socialización de las determinantes ambientales a los 25 municipios en la cual se explicó detalladamente su contenido e incorporación en el ordenamiento territorial, toda la información generada, así como la cartografía fue entregada a los municipios que asistieron a estas mesas de trabajo.
</t>
  </si>
  <si>
    <t>3205.01.03 Fortalecimiento operativo del proceso de evaluación (verificación de componentes claves del diagnóstico territorial descrito en el DTS del proyecto de revisión y/o ajuste del POT).</t>
  </si>
  <si>
    <t>Porcentaje de Diagnósticos relevantes del DTS de proyectos de ajustes verificados</t>
  </si>
  <si>
    <t xml:space="preserve"> Se realizo diagnostico del DTS al municipio de Valledupar </t>
  </si>
  <si>
    <t>3205.01.04 Control, Seguimiento y evaluación de los asuntos ambientales concertados en el proceso de revisión y/o ajustes de los POT, PBOT y EOT del Cesar</t>
  </si>
  <si>
    <t>Porcentaje de Actos administrativos del proceso, con seguimiento, control y evaluación</t>
  </si>
  <si>
    <t xml:space="preserve">Se realizó visita de seguimiento y asistencia técnica a los asuntos ambientales concertados en los POT de los 25 municipios
</t>
  </si>
  <si>
    <t>Proyecto 3205.02 Asistencia técnica a todos los municipios de la jurisdicción en los procesos de revisión y ajuste de los POT, siguiendo guias del SINA</t>
  </si>
  <si>
    <t>3205.02.01 Capacitación o asistencia técnica a los ETM, en todos los temas asociados al proceso de revisión de los POT (incluye perfil climático municipal y gestión del CC, GRD, desarrollo urbano sostenible, Expediente municipal del POT, UPR, planes parciales).</t>
  </si>
  <si>
    <t>Número ETM asistidos</t>
  </si>
  <si>
    <t>Se brindó asistencia técnica a los 25 municipios para la incorporación de las determinantes ambientales recientemente actualizadas, en marco del proceso de revisión de sus POT.</t>
  </si>
  <si>
    <t>3205.02.03 Apoyo a los municipios PDET en la Incorporación de la zonificación ambiental en la planeación del desarrollo territorial (POT y PDM)</t>
  </si>
  <si>
    <t>Número Municipios PDET asistidos</t>
  </si>
  <si>
    <t>3205.02.02 Apoyo y orientación a demás actores del proceso de revisión y ajuste de los POT (CTP, concejales, gremios, IGAC).</t>
  </si>
  <si>
    <t>Porcentaje Actores asistidos</t>
  </si>
  <si>
    <t>3205.02.04 Apoyo al SIG municipal a través del suministro de cartografía temática producida en Corpocesar por ETM.</t>
  </si>
  <si>
    <t>Porcentaje SIG Municipal con temática de OAT apoyados</t>
  </si>
  <si>
    <t xml:space="preserve">Conforme a las solicitudes recibidas de los entes municipales se suministró toda la información referente a las determinantes ambientales incluyendo su cartografía.
</t>
  </si>
  <si>
    <t>Proyecto 3205.03 Implementación de un sistema de relacionamiento  interinstitucional en el proceso de planeación del desarrollo y evaluación de los modelos de ocupación adoptados</t>
  </si>
  <si>
    <t>3205.03.01 Gestión para la creación de una estrategia de relacionamiento interinstitucional de OT subregional e interregional (Área Metropolitana, Gobernación, RAP, IGAC, CAR vecinas, CEI-COT, MVCT, MADR, cabildos).</t>
  </si>
  <si>
    <t>Estrategia interinstitucional de OT implementada.</t>
  </si>
  <si>
    <t>Se realizó simposio denominado, Planificación Territorial para la Inclusión de las Determinantes Ambientales y Estrategia de Desarrollo Sostenible.</t>
  </si>
  <si>
    <t>3205.03.02 Evaluación de modelos de ocupación y valoración de SE arrojados por los procesos de OAT y satisfacción de demandas</t>
  </si>
  <si>
    <t>Sistema de indicadores sociales asociados al OT, estructurado</t>
  </si>
  <si>
    <t>LINEA ESTRATÉGICA 2. GESTIÓN PARA LA CULTURA Y LA EDUCACIÓN AMBIENTAL</t>
  </si>
  <si>
    <t>PROGRAMA 3208. EDUCACIÓN AMBIENTAL</t>
  </si>
  <si>
    <t>Proyecto 3208.01 Fortalecimento de la participación ciudadana en la Gestión ambiental,  con enfoque endógeno y/o cultural,   intergeneracional, y consensual para promover el desarrollo ECOsocial en el dpto del Cesar</t>
  </si>
  <si>
    <t>3208.01.01 Gestión e Implementación de medidas para el fortalecimiento de la participación ciudadana en la gestión ambiental</t>
  </si>
  <si>
    <t>Número de procesos participativos implementados (las 4 act, siguientes/año)</t>
  </si>
  <si>
    <t xml:space="preserve">a) Se realizaron procesos participativos en los municipios de Rio de Oro, La Paz, San Martin, Tamalameque; Agustín Codazzi, Chimichagua, San Alberto y La Jagua de Ibirico a través de comités técnicos interinstitucionales de educación ambiental municipal CIDEAM.
b) En la ciudad de Valledupar se realizaron reuniones con la veeduría ciudadana, conversatorios con ediles de las comunas 1 y 2 de la ciudad.
c) Reuniones COTSA departamental, con los CMGRD de los municipios de Pailitas y Agustín Codazzi, y mesas ambientales en La Paz y San Diego. 
</t>
  </si>
  <si>
    <t>3208.01.02 Implementación de acciones para incluir el enfoque étnico, de género e intergeneracional en los procesos de educación ambiental. Asociado con el proyecto 6.2</t>
  </si>
  <si>
    <t>Número de procesos de educación ambiental con enfoque diferencial realizados</t>
  </si>
  <si>
    <t xml:space="preserve">Se realizó jornadas de arborización y capacitación a la comunidad afrodescendiente de Guacoche y Los Venados en el municipio de Valledupar.
</t>
  </si>
  <si>
    <t xml:space="preserve">3208.01.03 Creación de escenarios de diálogo entre los ciudadanos las entidades para la prevención de conflictos socioambientales, en armonía con la actividad 6.1.1 y el proyecto 6.3 </t>
  </si>
  <si>
    <t xml:space="preserve"> Número de acciones realizadas en el marco de la conmemoración del Bicentenario "200 años de biodiversidad"</t>
  </si>
  <si>
    <t xml:space="preserve">a) Se realizaron procesos participativos en los municipios de Rio de Oro, La Paz, San Martin, Tamalameque; Agustín Codazzi, Chimichagua, San Alberto y La Jagua de Ibirico a través de comités técnicos interinstitucionales de educación ambiental municipal CIDEAM.
b) En la ciudad de Valledupar se realizaron reuniones con la veeduría ciudadana, conversatorios con ediles de las comunas 1 y 2 de la ciudad.
c) Reuniones COTSA departamental, CMGRD de los municipios de Pailitas y Agustín Codazzi, y mesas ambientales en La Paz y San Diego
</t>
  </si>
  <si>
    <t>3208.01.05 Fortalecimiento y apoyo a la participación de los jóvenes de ambiente en el marco de la Política Nacional de Educación Ambiental</t>
  </si>
  <si>
    <t>Apoyo operativo de la red de jóvenes de ambiente del Cesar</t>
  </si>
  <si>
    <t xml:space="preserve">Se realizó apoyo operativo a jóvenes afrodescendientes en la zona norte y sur municipio de Valledupar, Foros virtuales con jóvenes Afros, reuniones virtuales con jóvenes emprendedores del municipio de La Paz.
Se realizó el primer encuentro con jóvenes resilientes del Área Metropolitana y Talleres sobre educación ambiental a 80 jóvenes
</t>
  </si>
  <si>
    <t>3208.01.04 Diseño e implementación de estrategias para el rescate y divulgación de los conocimientos tradicionales asociados al uso y manejo de la biodiversidad en el marco de la conmemoración del Bicentenario "200 Años de Biodiversidad", en armonía con el MADS</t>
  </si>
  <si>
    <t>Porcentaje de Avance de Estrategia Bicentenario ejecutada</t>
  </si>
  <si>
    <t xml:space="preserve">Se realizó intervención con jóvenes afrodescendientes de la zona norte y sur municipio de Valledupar y estudiantes PRAES en fase de proyección, profundización y exploración, estrategias dinamizadoras lúdicas con 100 estudiantes de la Instituciones Educativas Francisco Molina Sánchez, INSPECAM, Casimiro Raúl Maestre, José Celestino Mutis, en la ciudad de Valledupar, Ciro Pupo Martínez, Municipio de La Paz, Normal Superior Inmaculada, Municipio de Manaure, Mogola Hernández Pardo, Municipio de Pueblo Bello, Álvaro Araujo Noguera, municipio de Astrea, COLCARMEN,  Municipio de Aguachica y Monte Líbano municipio El Copey.
</t>
  </si>
  <si>
    <t>Proyecto 3208.02 Fortalecimiento y optimización del programa transversal de Educación Ambiental de la Corporación, armonizado a la Política Nacional de Educación Ambiental de Colombia, en el contexto de la propuesta DEPARTAMENTO DEL CESAR - CORPOCESAR– 2020: "Por la sustentabilidad de la vida".</t>
  </si>
  <si>
    <t>3208.02.01 Apoyo a la implementación de PRAUS, con enfoque en cambio climático.</t>
  </si>
  <si>
    <t>Número PRAUS Apoyados</t>
  </si>
  <si>
    <t>Se realizaron reuniones de trabajo con la Universidad Nacional Abierta y a Distancia, Universidad Popular del Cesar - CORPOCESAR y SIRAP CARIBE, para la concertación de acciones de investigación socio ambientales en áreas protegidas y reunión de socialización de estrategias del PNEA.</t>
  </si>
  <si>
    <t>3208.02.03 Resignificación de los CIDEAS</t>
  </si>
  <si>
    <t>Número CIDEA´s asesorados</t>
  </si>
  <si>
    <t xml:space="preserve">a) Se realizaron reuniones CIDEAM en los municipios de Rio de Oro, La Paz, San Martin, Tamalameque; Agustín Codazzi, Chimichagua, González, San Alberto y La Jagua de Ibirico 
b) 2 mesas de trabajo construcción PEAM
c) Mesa de trabajo PEAM González
d) Curso de asesoría actores CIDEAM para construcción de Política Pública Municipal de Educación Ambiental. 
e) Primer, segundo, tercero y Cuarto Foro Actores CIDEAM. 
f) Reunión de Socialización estrategia de cualificación actores CIDEA para construcción PEAM. Actividades de formación para la dinamización de CIDEAM e implementación del PNEA 
</t>
  </si>
  <si>
    <t>3208.02.04 Promoción y Fortalecimiento a los CIDEAS</t>
  </si>
  <si>
    <t>Número Miembros CIDEA y educadores ambientales formados</t>
  </si>
  <si>
    <t xml:space="preserve">a) Fortalecimiento a actores CIDEAM en los municipios de Rio de Oro, La Paz, San Martin, Tamalameque; Agustín Codazzi, Chimichagua, San Alberto y La Jagua de Ibirico.
b) Se realizaron 2 Mesas de Trabajo de construcción PEAM
c) Proceso de formación a Actores CIDEAM
d) Se realizaron cuatro foros de actores CIDEAM.
</t>
  </si>
  <si>
    <t>3208.02.05 Promoción del desarrollo de la dimensión ambiental en la educación no formal (PROCEDAS, empresas, investigación en tecnologías limpias).</t>
  </si>
  <si>
    <t>Número Gremios, asociaciones, investigaciones apoyadas a través de los PROCEDAS</t>
  </si>
  <si>
    <t xml:space="preserve">a) Se apoyó a través de PROCEDAS cultura del agua y manejo de los residuos sólidos ESP y entes territoriales a través de los CIDEAM. 
b) Se realizó foro en Manejo de residuos sólidos y cultura del agua. 
c) Lineamientos para la gestión proceda E.S.P.
d) Se realizaron reuniones, comité coordinador PGIRS Valledupar, mesa regional economía circular MREC, PROCEDA –MADS -Fundación Capacitar-CORPOCESAR y RECICLAJAGUA. 
e) Se realizaron visitas a puntos críticos RS y talleres trasformación RS y cultura del agua en Chimichagua en área urbana y rural.
f) Se realizaron capacitaciones virtuales al voluntariado ambiental Club de Leones.
g) Se dictaron talleres en manualidades con RS a madres UCA 450 años ICBF, en lineamientos para la construcción de PROCEDAS con actores institucionales y comunitarios.
</t>
  </si>
  <si>
    <t>3208.02.02 Resignificación de los  PRAES  (Promoción de la incorporación de la dimensión ambiental en la educación formal (contenidos curriculares en PRAES)</t>
  </si>
  <si>
    <t>Porcentaje de Contenidos curriculares de PRAES fortalecidos e incorporados (avance plan)</t>
  </si>
  <si>
    <t xml:space="preserve">a) Se realizaron jornadas educativas asincrónicas.
b) Se realizaron foros sobre conceptualización, contextualización y proyección fases PRAES, proyección, profundización y exploración. PRAE Y REDEPRAE.
c) Primer y segundo encuentro virtual PRAE PRODECO.
</t>
  </si>
  <si>
    <t>3208.02.06 Apoyo al diseño, implementación y promoción de planes y acciones de educación ambiental, con enfoque en cambio climático, en asocio con el proyecto 2.1</t>
  </si>
  <si>
    <t>Porcentaje Proyectos requeridos apoyados/año</t>
  </si>
  <si>
    <t xml:space="preserve">
a) Se apoyaron proyectos ambientales escolares y planes de educación ambiental municipal y departamental con enfoque cambio climático y gestión del riesgo. 
b) Se realizaron reuniones de trabajo con el fondo de acción, áreas protegidas, CMGRD Pailitas y Agustín Codazzi y proceso de sistematización de PRAES
</t>
  </si>
  <si>
    <t>Proyecto 3208.03 Planeación, gestión e Implementación de acciones  para el manejo de conflictos socioambientales  asociados a la productividad económica y/o uso de RN en áreas estratégicas del Cesar.</t>
  </si>
  <si>
    <t>3208.03.01 Apoyo a la estructuración, implementación y evaluación de compromisos en negocios verdes con enfoque cultural y/o diferencial (comunidad étnica, y afrodescendiente). en armonía con la actividad 5.1.4</t>
  </si>
  <si>
    <t>Número de Negocios verdes apoyados con enfoque diferencial.</t>
  </si>
  <si>
    <t xml:space="preserve">Se apoyó a:
a) Asociación Comunitaria de Mujeres Artesanas de la vereda Los Antiguos, municipio de Pueblo Bello Cesar – ASOCAMAVAPB
b) Asociación de Turismo Comunitario de Pueblo Bello Cesar- ATURISCOPBC.
c) Agrofruver (Pueblo Bello).
d) Comunidad afrodescendiente de Guacoche
</t>
  </si>
  <si>
    <t xml:space="preserve">3208.03.02 Implementación de Cátedra social de cambio climático y riesgo ambiental para la productividad con eco-educación (vía one-line pág. web de Corpocesar) </t>
  </si>
  <si>
    <t>Número Cátedra implementada</t>
  </si>
  <si>
    <t>Se implementó la catedra online en la página web de la Corporación, Banner cambio climático página CORPOCESAR</t>
  </si>
  <si>
    <t>3208.03.03 Implementación de estrategia para disminución de conflictos por uso de la Ciénaga de Zapatosa</t>
  </si>
  <si>
    <t>Porcentaje de Avance de estrategia implementada y evaluada</t>
  </si>
  <si>
    <t xml:space="preserve">a) Reuniones CIDEAM Chimichagua y Tamalameque enfoque Cultura del agua y Manejo Residuos Sólidos.
b) Reuniones virtuales revisión PM DRMI CCZ con Fundación Natura CORPOCESAR-CORPAMAG. 
c) Mesa de trabajo virtual, Ecosistemas Dulce Acuícolas CCZ. 
d) Reuniones virtuales APROCOGERZA.
e) Visitas puntos críticos RS y talleres de trasformación RS y Cultura del Agua en Chimichagua y Chiriguana
</t>
  </si>
  <si>
    <t>LÍNEA ESTRATÉGICA 1. GESTIÓN PARA EL FORTALECIMIENTO INSTITUCIONAL INTEGRAL.</t>
  </si>
  <si>
    <t>PROGRAMA 3299. FORTALECIMIENTO DE LA GESTIÓN Y DIRECCIÓN DEL SECTOR AMBIENTE Y DESARROLLO SOSTENIBLE</t>
  </si>
  <si>
    <t>Proyecto 3299.01  Fortalecimiento  e implementación de medidas  Técnicas, económicas  y financieras  para la sostenibilidad  administrativa y financiera  de Corpocesar</t>
  </si>
  <si>
    <t xml:space="preserve">3299.01.01 Implementación de estrategias eficaces en el Recaudo de las rentas propias de la entidad (gestión de cobro persuasivo, coactivo y de saneamiento contable, Adecuada implementación de la reglamentación existente en materia de tasas ambientales; otros) </t>
  </si>
  <si>
    <t>Número de Estrategias implementadas evaluadas</t>
  </si>
  <si>
    <t>a) Se contrataron profesionales de apoyo para el cobro persuasivo y seguimiento a los procesos financieros y se les asigno la cartera que se encuentra vencida y que corresponde a la gestionada por DATACRÉDITO en la vigencia 2020, esta cartera es enviada a la Oficina Jurídica para iniciar el cobro coactivo.</t>
  </si>
  <si>
    <t>3299.01.02 Valoración cuantitativa de estrategias eficaces en el Recaudo de las rentas propias de la entidad (gestión de cobro persuasivo, coactivo y de saneamiento contable, Adecuada implementación de la reglamentación existente en materia de tasas ambientales; otros)</t>
  </si>
  <si>
    <t>Número Nuevas estrategias (tributo de carbono, tasas) implementadas/año</t>
  </si>
  <si>
    <t xml:space="preserve">Se realizó la consulta al Ministerio de Ambiente y Desarrollo Sostenible y a ASOCARS, donde esta última conceptuó lo siguiente:
a. Impuesto al Carbono, creado según la Ley 1819 de 2016, dicho impuesto es recaudado por la DIAN y el 25% del recaudo de dicho impuesto será destinado al sector de ambiente, el cual posteriormente debe ser reglamentado por el Minambiente y definir cómo será la asignación de dichos recursos a las Corporaciones Autónomas Regionales. 
b. Porcentaje del peaje recaudado por CORMAGDALENA, éste fue creado por medio de una Ley específicamente para esa Corporación, debido a una fractura del ecosistema que se compensa con este recaudo.
c. Impuesto de timbre de vehículo departamental, el cual según la Ley 99 de 1993 en su artículo 46 numeral 6, se destinaba el 10% a las corporaciones, éste se encuentra sin vigencia según lo expresado por ASOCARS.
d. Ingresos por las fuentes móviles, de las cuales no hay un marco normativo para cobrarlo y que en diferentes ocasiones han tratado de construir una norma, pero que a la fecha no se ha podido regular. 
</t>
  </si>
  <si>
    <t>3299.01.03 Gestión y actualización efectiva de la base de datos de usuarios de la TUA enfocada a la reglamentación y/o ordenación de corrientes, teniendo en cuenta la variabilidad climática (asocio con el programa 2)</t>
  </si>
  <si>
    <t>Porcentaje de Avance de Base de datos TUA actualizada</t>
  </si>
  <si>
    <t>La actualización de la base de datos se realizó de manera continua y se liquidó la TUA causada en el año 2020.</t>
  </si>
  <si>
    <t>3299.01.04 Control y seguimiento a la gestión de la tasa retributiva para promover la eficacia y eficiencia de la reinversión, en armonía con Actividad 2.4.3</t>
  </si>
  <si>
    <t>Porcentaje de Fuente TR controlada</t>
  </si>
  <si>
    <t xml:space="preserve">Se proyectó a través del presupuesto el ingreso de la Tasa Retributiva durante la vigencia 2021, el cual corresponde a $983.000.000 y se pone en ejecución las estrategias diseñadas para el recaudo y recuperación de cartera, partiendo de la liquidación generada desde la Coordinación GIT para la gestión de saneamiento ambiental y control de vertimientos. 
Desde el área de Planeación se controla la asignación de recursos que apoyen la actividad., 3203.01.03 Control, seguimiento y apoyo a implementación de los PSMV y PUEAA aprobados por la Corporación e implementación de acciones para el uso eficiente y descontaminación del recurso hídrico en el dpto. del Cesar. (armonización con proyecto 3201.02)
</t>
  </si>
  <si>
    <t xml:space="preserve">3299.01.05 Sostenimiento técnico y adtvo en la Implementación de las NIIF, IGPR, PCT, y otros instrumentos de apoyo (cumplimiento tributario, contable, operativo, y reportes de información correspondientes en los tiempos y bajo los parámetros establecidos. etc) </t>
  </si>
  <si>
    <t>Porcentaje Capacidad operativa de apoyo</t>
  </si>
  <si>
    <t xml:space="preserve">Se celebró el contrato No. 19-6-0124-0-2021 cuyo objeto es soporte técnico, mantenimiento a distancia e implementación de los módulos web del sistema de información administrativo y financiero PCT INTERPRISE vigencia 2021, para la facturación y cartera de la tasa por utilización de agua (TUA), tasa retributiva (TR), tasa por aprovechamiento forestal, evaluación, seguimiento ambiental y demás gestiones ambientales.
</t>
  </si>
  <si>
    <t>3299.01.06 Ejecución de las inversiones en preservación, restauración, uso sostenible y generación de conocimiento (art. 11 de la Ley 1955 de 2019 y los artículos 24 y 25 de la Ley 1930 de 2018)</t>
  </si>
  <si>
    <t>Indice de ejecución RAE/GI</t>
  </si>
  <si>
    <t>La ejecución de los programas de inversión 3202. Conservación de la biodiversidad y los servicios ecosistémicos y 3204. gestíon del conocimiento e información ambiental al finalizar la vigencia fue del 70% con respecto a lo programado.</t>
  </si>
  <si>
    <t>3299.01.07. Participación en los espacios de consulta pública de los proyectos de reglamentación de los instrumentos económicos, financieros y de mercado, liderados por el MADS.</t>
  </si>
  <si>
    <t>Porcentaje Nivel de participación y aportes a consutas</t>
  </si>
  <si>
    <t xml:space="preserve">En cuanto a la Participación en los espacios de consulta pública de los proyectos de reglamentación de los instrumentos económicos, financieros y de mercado se participaron en las mesas de trabajo convocadas por el MADS y ASOCAR´s en las cuales se abordaron temas como la actualización de los clasificadores presupuestales, armonización del catalago presupuestal de conformidad a los lineamientos establecidos por el DNP y a las circulares emitidas por la CGR.
</t>
  </si>
  <si>
    <t>3299.01.06 Diseño del Sistema de Gestión Ambiental SGA- NTC ISO 14001:2015 para la sede bioclimática de la entidad en Valledupar</t>
  </si>
  <si>
    <t>Número Sistema diseñado</t>
  </si>
  <si>
    <t>Se diseñó el SGA bajo la norma NTC ISO 14001:2015</t>
  </si>
  <si>
    <t>3299.01.07 Implementación del Sistema de Gestión Ambiental SGA- NTC ISO 14001:2015 para la sede bioclimática de la entidad en Valledupar</t>
  </si>
  <si>
    <t>Número  Sistema implementado</t>
  </si>
  <si>
    <t>Se implementó el SGA en un 28%</t>
  </si>
  <si>
    <t>3299.01.08 Evaluación y certificación del Sistema de Gestión Ambiental SGA- NTC ISO 14001:2015 para la sede bioclimática de la entidad en Valledupar</t>
  </si>
  <si>
    <t>Número Sistema evaluado y certificado</t>
  </si>
  <si>
    <t>3299.01.09 Mantenimiento y mejoramiento continuo del Sistema de Gestión Ambiental SGA- NTC ISO 14001:2015 para la sede bioclimática de la entidad en Valledupar</t>
  </si>
  <si>
    <t>Número Sistema en mantenimiento y mejoramiento continuo</t>
  </si>
  <si>
    <t xml:space="preserve">3299.01.10 Gestión para la puesta en marcha y operación del laboratorio ambiental de agua </t>
  </si>
  <si>
    <t>Porcentaje Dotación, operación yposterior acreditacióndel laboratorio de aguas</t>
  </si>
  <si>
    <t xml:space="preserve">a) El laboratorio se encuentra operativo, desarrollando las acciones de monitoreo del recurso hídrico de aguas superficiales y subterráneas conforme al cronograma de monitoreo.
b) Se solicitó visita para el seguimiento y extensión de la acreditación en las matrices de Agua y Aire al IDEAM quien asigno el radicado número 20219910030762 del 31 de mayo de 2021, se está a la espera de la asignación de fecha de la visita.
c) Se recibió la donación de 3 multiparámetros por parte de FUPAC y la AGENCIA NACIONAL DE HIDROCARBUROS 
</t>
  </si>
  <si>
    <t>3299.01.11 Gestión para la venta de servicio de laboratorio ambiental de agua (estrategia administrativa y de sostenibilidad financiera) en armonía con la actividad o subp 2.4.4</t>
  </si>
  <si>
    <t>Porcentaje de Avance de Nuevo servicio (venta implementada)</t>
  </si>
  <si>
    <t xml:space="preserve">a) Se adelantó mesa de trabajo con la Subdirección de Planeación, Subdirección de Gestión Ambiental, Oficina de Control Interno, y Calidad, para evaluar las estrategias y procedimientos para realizar el cobro de los servicios que prestara el laboratorio a los clientes internos y externos. Se espera directrices para diseñar y proponer las estrategias respectivas que permitan ofrecer, cobrar y canalizar los recursos de los servicios.
b) Se establecieron y diligenciaron formatos para establecer APU de los posibles servicios a vender.
</t>
  </si>
  <si>
    <t>Proyecto 3299.02 Gestión e implementacion de acciones  para el aumento de la capacidad de desempeño  institucional integral de Corpocesar</t>
  </si>
  <si>
    <t>3299.02.01 Optimización del SIGC de la entidad en el marco del modelo integrado de planeación y gestión MIPG (revisión de la política de calidad y sus sistemas) enfocada al desempeño óptimo de la entidad - IEDI- (eficiencia comparativa).</t>
  </si>
  <si>
    <t>Indice Sistema de calidad y MIPG optimizado</t>
  </si>
  <si>
    <t xml:space="preserve">CALIDAD. Se realizó la actualización de:
a) Direccionamiento Estratégico de la Corporación
b) Procedimientos de Gestión de Compras y Contratación
c) Procedimientos de Gestión de Recursos Físicos
d) Mapa de Riesgos e indicadores de Gestión
e) Documentos (procedimientos, formatos, manuales y guías) 
f) Gestión de Laboratorio Ambiental
g) Cambio de Codificación de los procesos de Gestión Jurídica, Gestión de Talento Humano, Gestión de Tics.
h) Se atendió auditoria externa de INCOTEC logrando la certificación del Sistema de Gestión de CORPOCESAR, auditoria interna de la CORPORACION y se atendieron los requerimientos de las observaciones a dichas auditorias.
MIPG: Durante el segundo semestre del año se realizó la actualización de mapas de riesgo de acuerdo a la política del Modelo Integrado de Planeación y Gestión MIPG y lineamientos del Departamento Administrativo de la Función Pública DAFP integrándolos al Sistemas de Gestión de la Corporación. Se realizaron capacitaciones y se construyó la política de participación ciudadana  
</t>
  </si>
  <si>
    <t>3299.02.02 Fortalecimiento del control interno de gestión, en armonia con la política y retos del PGAR</t>
  </si>
  <si>
    <t>Número de Sistema de Control interno de gestión fortalecido (recursos físicos, tecnológico y humano)/año</t>
  </si>
  <si>
    <t xml:space="preserve">
Se cumplió con el Plan de Auditoria Vigencia 2021, el cual fue desarrollado con el apoyo de 3 contratistas y 2 funcionarios 
</t>
  </si>
  <si>
    <t>3299.02.04 Fortalecimiento del Banco de Programas y Proyectos como soporte a la gestión de inversión ambiental de la entidad</t>
  </si>
  <si>
    <t>Número BPI-CAR fortalecido</t>
  </si>
  <si>
    <t xml:space="preserve">El banco de proyectos operó con el apoyo de un funcionario de planta y 3 contratistas, a través de los cuales se han gestionado, formulado, viabilizado y priorizado varios proyectos de inversión ante el Fondo Nacional Ambiental, Fondo de Compensación Ambiental y con recursos de asignaciones directas del SGR. 
</t>
  </si>
  <si>
    <t>3299.02.06 Optimización física de la sede principal de Corpocesar (infraestructura, dotación, mantenimiento, según diagnóstico, PM y SIGC).</t>
  </si>
  <si>
    <t>Número Infraestructuras optimizadas y mantenidas/sedes propias</t>
  </si>
  <si>
    <t xml:space="preserve">Segundo semestre: No se realizaron contratos de optimización física en la sede principal o seccionales.  
Primer semestre:  Contrato de Mantenimiento de plazoleta, mantenimiento de aires acondicionados.                                                                                                         
</t>
  </si>
  <si>
    <t>3299.02.07 Optimización física de las seccionales (infraestructura, Dotación, mantenimiento, según diagnóstico, PM y SIGC).</t>
  </si>
  <si>
    <t>Número Seccionales adecuadas dotadas y mantenidas</t>
  </si>
  <si>
    <t xml:space="preserve">Segundo semestre, No se realizaron adecuaciones y dotaciones. 
Primer semestre. 
a) Seccional Curumaní: en esta seccional existe un contrato de comodato en ejecución. 
b) Seccional La Jagua del Pilar: nos trasladamos a unas nuevas instalaciones, esta se adapta a las necesidades de la Corporación. Existe un contrato de arrendamiento.  
c) Seccional Chimichagua: se encuentra bajo contrato de arrendamiento  
d) Seccional Aguachica: esta edificación es de propiedad de la Entidad.
</t>
  </si>
  <si>
    <t>3299.02.05 Concertación, gestión e Implementación del programa de bienestar social e incentivos, y de formación y capacitación</t>
  </si>
  <si>
    <t>Indice de Eficacia/programa</t>
  </si>
  <si>
    <t xml:space="preserve">Plan de Capacitación: 88% 
a) Las capacitaciones desarrolladas. 
- Actualización en Normatividad Presupuestal
- Catálogo de Distribución Presupuestal
- Derecho De Petición
- Gestión Documental
- Funcionamiento del Nuevo Sistema de Regalías
- Sistema Integrado de Gestión
- Modelo Integrado de Planeación y Gestión
- Decreto 1072 de 2015 y Resolución 0312 de 2019
- Sistema de Gestión de la Seguridad y Salud en el Trabajo
- Fundamentos de Administración Pública
- Funciones Generales de las Corporaciones Autónomas Regionales
- Formulación de Proyectos Bajo la Metodología General Ajustada
- Marco General del, Funcionamiento del Estado
- Participación Ciudadana
- Transparencia y Atención a la Ciudadanía Ley 1712 de 2014
- Ley de Transparencia y del Derecho de Acceso a la Información Pública
- Código de Integridad, Rol del Servidor Público y Generación de Valor Público.
b) Recorrido de campo con funcionarios y contratistas, instalaciones y áreas protegidas de la empresa minera DRUMMOND LTDA
Plan de Bienestar: 100%  
Se realizó, celebración del cumpleaños de la Corporación, día de la mujer, día del hombre y día del servidor público, actividades incluidas en el Plan de Bienestar Social.
</t>
  </si>
  <si>
    <t>3299.02.08 Protección de activos y bienes corporativos</t>
  </si>
  <si>
    <t>Porcentaje Activos y bienes protegidos</t>
  </si>
  <si>
    <t>Se cumplió con el contrato de seguro de vida y bienes de Corpocesar, donde se aseguró en su totalidad al personal de planta, propiedades y bienes de la entidad. Dicho seguro se realizó con Seguros Generales Suramericana S.A por un valor de $173.698.010,  firmado el 11 de noviembre de 2021</t>
  </si>
  <si>
    <t>3299.02.03 Optimización integrada del sistema de atención al ciudadano (PQR´s, ventanilla única), quejas y sanciones ambientales</t>
  </si>
  <si>
    <t>Porcentaje Avance de la optimización del sistema</t>
  </si>
  <si>
    <t xml:space="preserve">a) La Ventanilla Única presencial se encuentra funcionando normalmente. 
b) Proceso VITAL, en el mes de octubre se realizó caracterización de los tramites de Concesión de Recursos Hídrico Subterráneo, Registro RESPEL y Aprovechamiento Forestal de Arboles Aislados con el fin de iniciar la implementación de los procesos en VITAL.
</t>
  </si>
  <si>
    <t>3299.02.09 Continuación de la optimización fisica y operativa (TRD, TVD, PINAR, SIC) de la gestión archívistica y documental (consulta virtual y física centro de documentación), según plan específico</t>
  </si>
  <si>
    <t>Porcentaje Avance del sistema archivístico y documental.</t>
  </si>
  <si>
    <t>Se actualizaron las TRD, fueron convalidadas por el AGN y adoptadas por la Corporación mediante Resolución No 0459 de septiembre 21 de 2,021. Faltan las TDV, la oficina jurídica debe definir el proceso a seguir con el incumplimiento del contratista.</t>
  </si>
  <si>
    <t>3299.02.10 Optimización de la estrategia de Compras públicas sostenibles</t>
  </si>
  <si>
    <t>Porcentaje Avance de la estrategia</t>
  </si>
  <si>
    <t xml:space="preserve">La entidad no realizó compras publicas sostenibles. </t>
  </si>
  <si>
    <t>Proyecto 3299.03 Fortalecimiento institucional sostenible del ejercicio de la autoridad ambiental regional  (seguimiento, control y vigilancia) y apoyo  integral de los procesos operativos de trámites ambientales otorgados por la Corporación</t>
  </si>
  <si>
    <t>3299.03.01 Implementación de una estrategia de seguimiento documental a los compromisos adquiridos mediante informes impuestos en el acto administrativo</t>
  </si>
  <si>
    <t>Número de Estrategia de seguimiento implementada/año</t>
  </si>
  <si>
    <t xml:space="preserve">Ell dia 02/08/2021 Se realizo seguimiento a la estrategia trazada en la reunion del 06 de marzo de 2021, donde se realizó socialización de los procedimientos de la Coordinación para la Gestión del Seguimiento Ambiental; se generaron las estrategias para el desarrollo de las actividades de seguimiento y control ambiental y se determinaron los criterios para la escogencia de proyectos objeto de seguimiento y control ambiental para la vigencia 2021.priorizando los proyectos que hacen parte de los indicadores minimos de gestion ambiental incorporados en la resolucion 667 de 2016.  </t>
  </si>
  <si>
    <t>3299.03.02 Verificación en campo por alertas identificadas en los informes</t>
  </si>
  <si>
    <t>Porcentaje de Alertas con seguimiento y evaluación en campo</t>
  </si>
  <si>
    <t xml:space="preserve">Se programaron  y ejecutaron 98 visitas de seguimiento ambiental, discriminadas asi: Mineras 68, RESPEL 6, Electrico 3. portuario 4, Lacteos2, pamilcultor 2, Relleno Sanitario 4, Estaciones de servicios 5, obras civiles 4.
</t>
  </si>
  <si>
    <t xml:space="preserve">3299.03.03 Verificación en campo a los permisos, autorizaciones o licencias que no han cumplido con la presentación de informes </t>
  </si>
  <si>
    <t>Porcentaje de Seguimiento y control a los que incumplen obligaciones</t>
  </si>
  <si>
    <t>3299.03.04 Optimización integral de los procesos operativos de trámites ambientales otorgados por la Corporación</t>
  </si>
  <si>
    <t>Porcentaje de Procesos óptimos</t>
  </si>
  <si>
    <t xml:space="preserve">Se tiene activo el proceso de salvoconducto y se está en proceso de implementación de quejas y denuncias ambientales.
</t>
  </si>
  <si>
    <t>3299.03.05 Dotación, mantenimiento y/o calibración de equipos receptores del Sistema de posicionamiento global - GPS, molinetes, Drone, sonómetros, cámaras fotográficas, software/licencias (ArcGis) otras dotaciones institucionales (según requisitos definidos en la NTC ISO 9001:2015)</t>
  </si>
  <si>
    <t>Dotacion,mantenimiento y/o calibración</t>
  </si>
  <si>
    <t>3299.03.06 Implementación efectiva del sistema VITAL-SILAM, SUIT para la optimización de los trámites ambientales</t>
  </si>
  <si>
    <t>Número Sistema fortalecido (R. humano, y de soporte tecnológico) c/año</t>
  </si>
  <si>
    <t>Se avanzo 10% en la implementacion  del sistema  para lo cual  se realizo la contratacion de servicios tecnologicos  profesionales a traves del cual se brindo el  soporte tecnologico para  la puesta en marcha del sistema,  avanzando en la caracterizacion de los tramites de Inscripcion RESPEL, Concesion de Aguas Subterraneas y Aprovechamiento forestal, para implementacion en la plataforma Vital. sin embargo el sistema no alcanzo a fortalecerce en un 100%   para su implemntacion.</t>
  </si>
  <si>
    <t>3299.03.07 Actualización de la base de datos de los procesos sancionatorios</t>
  </si>
  <si>
    <t>Número de Base de datos actualizada</t>
  </si>
  <si>
    <t xml:space="preserve">Se consolida un avance del 90% de la base de datos de los procesos sancionatorios de la oficina jurídica, con un valor pendiente del 10% correspondiente, al estado de los procesos de la vigencia con corte al  31 de diciembre de 2021. </t>
  </si>
  <si>
    <t>Proyecto 3299.04  Implementación de estrategias para el manejo ambiental en territorios indígenas de la Sierra Nevada de Santa Marta y Serranía de Perijá,   incorporando la cosmovisión de los pueblos indígenas  y  el enfoque diferencial en la restauración ecológica integral .</t>
  </si>
  <si>
    <t>3299.04.01 Implementación de proyectos agroforestales como alternativa de sostenibilidad ambeintal para el optimo aprovechamiento y/o uso del suelo, y que favorezcan las condiciones alimentarias de subsistencia de las comunidades indigenas en el marco del pacto por los grupos etnicos del PND 2018-2022</t>
  </si>
  <si>
    <t>Número Acciones priorizadas y/o implementadas</t>
  </si>
  <si>
    <t xml:space="preserve">a) Se ejecutaron 10 hectáreas de unidades agroforestales con frutales, mango, cultivo de patilla y arboles maderables, con su correspondiente aislamiento y facilidades de riego, se desarrolla en la comunidad indígena de Tezhumque, perteneciente al pueblo Wiwa. 
b) Se  encuentra suspendido el convenio No 19-7-0002-0-2021, con la Fundación Sillas Azules, cuyo objeto es: Aunar esfuerzos técnicos, administrativos y financieros para el establecimiento de 16 hectáreas de unidades agroforestales para comunidades afrodescendientes e indígenas establecidas en la jurisdicción de la Corporación Autónoma Regional del Cesar.
</t>
  </si>
  <si>
    <t>3299.04.04 Desarrollo de escenario de gobernanza con grupos étnicos para la gestión de estrategias de Prevención de conflictos socioambientales.</t>
  </si>
  <si>
    <t>Número Encuentros realizados (SNSM; SP)</t>
  </si>
  <si>
    <t xml:space="preserve">
Se  realizaron dos talleres de reflexión intercultural como escenario de gobernanza ambiental territorial en territorio del pueblo Kankuamo, esto en el marco del convenio N° 19-7-008-0-2021  suscrito con el resguardo Kankuamo, 
De igual manera se realizaron dos (2) encuentros con las autoridades y mayores del pueblo kankuamo para la implementación entre otras de esta actividad  mediante la conformación y operación de una mesa de gobernanza ambiental (inicialmente autoridad indígena y autoridad ambiental) con su propio reglamento operativo, con miras a ejercer acciones conjuntas de seguimiento al estado ambiental del territorio
</t>
  </si>
  <si>
    <t xml:space="preserve">3299.04.06 Gestión, apoyo de acciones de aislamiento de áreas de interés ambiental y cultural, para inducir su recuperación natural. Y OTRAS ESTRATEGIAS para la restauración ecológica de Ecosistemas en el marco del componente programático de los POMCAS y del componente estratégico de los PMA de las áreas protegidas declaradas </t>
  </si>
  <si>
    <t>Número Estrategias implementadas</t>
  </si>
  <si>
    <t>Se  encuentra suspendido con un avance de 78.55%  el contrato convenio No 19-7-0002-0-2021, con la Fundación Silla Azules, cuyo objeto es: Aunar esfuerzos técnicos, administrativos y financieros para el establecimiento de 16 hectáreas de unidades agroforestales para comunidades afrodescendientes e indígenas establecidas en la jurisdicción de la Corporación Autónoma Regional Del Cesar.</t>
  </si>
  <si>
    <t>3299.04.07 Apoyo para la determinación de línea base socioambiental en asentamientos indígenas para fundamentar procesos geopolíticos en la Serranía del Perijá</t>
  </si>
  <si>
    <t>Número LB apoyada</t>
  </si>
  <si>
    <t xml:space="preserve">Se tiene proyectada la suscripción de un convenio con el resguardo Iroka para realizar un diagnóstico para la identificación, diseño y costeo de sistemas de abastecimiento de agua en comunidades del pueblo Yukpa como base para gestionar recursos para su implementación. 
Con este objeto se ofició nuevamente al resguardo IROKA del pueblo Yukpa los días 3 y 23 de junio de 2021, para realizar reunión con sus autoridades tradicionales para dialogar sobre la posibilidad de concertar la ejecución de las actividades 3299.04.05 y 3299.04.07 del PAI 2020-2023, en el territorio de este pueblo, sin que se haya recibido respuesta a la fecha. Se ha insistido en el relacionamiento con este resguardo debido a que administrativamente es el mejor conformado y presenta experiencia en la ejecución de proyectos con otras entidades y a través de este puede llegarse a la gestión concertada de proyectos con las autoridades de los otros resguardos del pueblo Yukpa.
</t>
  </si>
  <si>
    <t>3299.04.02 Gestión, coordinación y evaluación al cumplimiento y materialización de acuerdos pactados mediante protocolización de consultas previas, en el marco de los POMCA adoptados, según responsabilidades de los consejos de cuencas.</t>
  </si>
  <si>
    <t>Porcentaje de Avance del proceso de materialización de acuerdos/consejos de cuencas</t>
  </si>
  <si>
    <t>La Corporación Autónoma Regional del Cesar – CORPOCESAR-, en contexto con las acciones que se desprenden del Plan de Ordenamiento y Manejo de la Cuenca Hidrográfica - Pomcas del Río Guatapurí, adoptado mediante Resolución 0098 del 02 de marzo de 2020, estableció la  ejecución del Proyecto de Acotamiento de la Ronda hídrica del Rio Guatapurí, para lo cual se llevó a cabo el comité de cuencas, para la socialización de dicho proyecto el 19 de abril de 2021, de igual manera, Instalación del mecanismo de coordinación Corpocesar y CTC de la sierra nevada en el marco de los acuerdos del Pomca Río Guatapuri</t>
  </si>
  <si>
    <t>3299.04.03 Identificación de oportunidades y necesidades de gestión del cambio climático en territorios étnicos para la implementación de acciones de manejo conjuntas con enfoque diferencial.</t>
  </si>
  <si>
    <t>Número Estudios de identificación</t>
  </si>
  <si>
    <t xml:space="preserve">Se realización  cuatro talleres para la identificación de oportunidades y necesidades de gestión del cambio climático en territorios étnicos, dentro de la ejecución del convenio N° 19-7-008-0-2021  suscrito con el resguardo Kankuamo.
</t>
  </si>
  <si>
    <t>80~Número de países menos adelantados y pequeños Estados insulares en desarrollo que están recibiendo apoyo especializado para los mecanismos encaminados a aumentar la capacidad de planificación y gestión eficaces en relación con el cambio climático, incluidos los centrados en las mujeres, los jóvenes y las comunidades locales y marginadas</t>
  </si>
  <si>
    <t>3299.04.05 Gestion, y apoyo y/o Construcción de sistemas de abastecimiento de agua, de manejo integral de residuos y de saneamiento básico (baterías sanitarias) en asentamientos de comunidades indígenas.</t>
  </si>
  <si>
    <t>Número Sistemas apoyados y/o construidos</t>
  </si>
  <si>
    <t>117~Porcentaje de la población que dispone de servicios de suministro de agua potable gestionados de manera segura</t>
  </si>
  <si>
    <t xml:space="preserve">Proyecto 3299.05 Implementación de estrategias para el manejo ambiental en comunidades afrodescendientes,  otras minorías étnicas, y/o poblaciones victimas del conflicto armado en el dpto. del Cesar. </t>
  </si>
  <si>
    <t>3299.05.01 Priorización de acciones (según capacidad y competencia) para el apoyo conjunto con el MADS a territorios colectivos y otras minorías vulnerables, en el marco del Pacto por los grupos étnicos del PND 2018-2022.</t>
  </si>
  <si>
    <t>Número Acciones priorizadas</t>
  </si>
  <si>
    <t xml:space="preserve">a) Se ejecutaron 10 hectáreas de unidades agroforestales con frutales (mango), cultivo de patilla y arboles maderables, con su correspondiente aislamiento y facilidades de riego. Se desarrolla en la comunidad indígena de Tezhumque, perteneciente al pueblo Wiwa.
b) se encuentra suspendido esperando temporada de lluvia el convenio No 19-7-0002-0-2021 con la Fundación Sillas Azules, cuyo objeto es "Aunar esfuerzos técnicos, administrativos y financieros para el establecimiento de 16 hectáreas de unidades agroforestales para comunidades afrodescendientes e indígenas establecidas en la jurisdicción de la Corporación Autónoma Regional Del Cesar"  
c) Se ejecutó convenio N° 19-7-008-0-2021 con el resguardo Kankuamo, cuyo objeto es: Aunar esfuerzos técnicos, económicos y/o administrativos para la implementación de actividades ambientales con enfoque diferencial en el territorio ancestral del pueblo indígena Kankuamo en la Sierra Nevada de Santa Marta, departamento del cesar" 
</t>
  </si>
  <si>
    <t>3299.05.02 Implementación de proyectos agroforestales como alternativa de sostenibilidad ambiental para el óptimo aprovechamiento y/o uso del suelo, y que favorezcan las condiciones alimentarias de subsistencia de las comunidades afrocolombianas</t>
  </si>
  <si>
    <t>Número de proyectos implementados</t>
  </si>
  <si>
    <t>Se encuentra suspendido hasta el mes de marzo, esperando temporada de lluvias el convenio No 19-7-0002-0-2021, con la Fundación Sillas Azules, cuyo objeto es "Aunar esfuerzos técnicos, administrativos y financieros para el establecimiento de 16 hectáreas de unidades agroforestales para comunidades afrodescendientes e indígenas establecidas en la jurisdicción de la Corporación Autónoma Regional Del Cesar", el cual se encuentra en ejecución</t>
  </si>
  <si>
    <t>3299.05.03 Fortalecimiento de la capacidad social, para la transformación de conflictos y valoración como aliados estratégicos para la conservación y la gestión ambiental (Investigación y monitoreo comunitario, Conservación en territorios colectivos, mujeres en la gestión ambiental. (asocio con proyectos 6.1 y 6.3).</t>
  </si>
  <si>
    <t>Número  Acciones de identificación, caracterización y/o capacitación</t>
  </si>
  <si>
    <t>Se realizaron dos talleres sobre situaciones de conflictos socio ambientales identificadas, acciones de manejo conjuntas con enfoque diferencial propuestas, dentro de la ejecución del convenio N° 19-7-008-0-2021 suscrito con el resguardo Kankuamo</t>
  </si>
  <si>
    <t>3299.06.01 Ejecución del plan de acción para la implementación efectiva de la estrategia de gobierno digital</t>
  </si>
  <si>
    <t>Porcentaje Avance y sosteniblidad del plan de acción Gobierno Digital.</t>
  </si>
  <si>
    <t xml:space="preserve">Se realizó el PETI, los planes de riesgo y de seguridad de la información, algunos instrumentos de apoyo al proceso del área, gobierno de datos en el proceso de facturación de tasas y servicios ambientales.
</t>
  </si>
  <si>
    <t>3299.06.02 Gestión para el cumplimiento del proceso de transparencia y acceso a la información (Ley 1712 de 2014)</t>
  </si>
  <si>
    <t>Porcentaje Cumplimiento de requisitos mínimos de publicación</t>
  </si>
  <si>
    <t xml:space="preserve">Se publicaron todos los actos administrativos y la información producida por la entidad, en el portal web institucional, además se cumplió con el indicador ITA de la PGN. </t>
  </si>
  <si>
    <t>3299.06.03 Soporte interno en tecnología y formación para el uso eficiente de las TICs.</t>
  </si>
  <si>
    <t>Porcentaje Eficacia del soporte</t>
  </si>
  <si>
    <t>Se atendieron todos los requerimientos informaticos reportados en  la entidad.</t>
  </si>
  <si>
    <t>3299.06.04 Gestión para la adquisición hardware y sofware, licencias (según necesidad ) e implementación óptima de software adquiridos (ej. PCT, seguridad informática, almacén etc)</t>
  </si>
  <si>
    <t>Porcentaje Demanda atendida</t>
  </si>
  <si>
    <t xml:space="preserve">a) Se renovaron los contratos de mantenimiento y soporte técnicos de PCT y SIAN. 
b) Se adquirió el servicio de Gestión de Seguridad de la Información con Movistar que lo componen un Firewall y 80 licencias de antivirus Sophos.
c) Se aumentó el ancho de banda del servicio de internet dedicado de Movistar y Dialnet.
d) Se habilitaron 6 Access Point en la sede principal para proporcionar wifi en Administrativa y Financiera, Planeación y Recursos Hídricos, Subdirección Ambiental y el área de Jurídica que cubre las oficinas cercanas y la Dirección General.  
e) Falta el hosting de la página web y renovación del contrato de la aplicación SGP CAR (Software para las declaraciones de la sobretasa ambiental).
f) Se contrató el servicio de mensajería web MICROSOFT.
</t>
  </si>
  <si>
    <t>PROGRAMA 3204.  GESTIÓN DE LA INFORMACIÓN Y EL CONOCIMIENTO AMBIENTAL</t>
  </si>
  <si>
    <t xml:space="preserve">Proyecto 3204.01 Gestión de conocimiento e información ambiental para la promoción del desarrollo ambiental sostenible. </t>
  </si>
  <si>
    <t>3204.01.01  Gestión de un área  viable de la red hidrometeorológica en  jurisdicción de Corpocesar</t>
  </si>
  <si>
    <t>Avance de área (cobertura de red ) viable TEFIA implementada</t>
  </si>
  <si>
    <t xml:space="preserve">A través de la actividad de monitoreo del recurso hídrico (9.1.2. y 2.4.1.) superficial y subterráneo se avanzó en la consolidación de una red de estaciones de niveles freáticos y caudales líquidos, que constituyen la base de la red hidrometeorológica, a la cual se suma las estaciones disponibles en la zona minera como parte de la red de calidad de aire.          
Se requiere de la utilización del software ARCGIS por lo cual se suscribió la orden de compra 82795 del 15 de diciembre de 2021 y se adjudicó el proceso de compra de equipos de cómputo que alojaran el software, estos elementos permitirán disponer de una plataforma que facilite la conformación de un sistema de información ambiental para la entidad
</t>
  </si>
  <si>
    <t>3204.01.02. Implementación de un área  viable de la red hidrometeorológica en  jurisdicción de Corpocesar y comunicación de información ambiental arrojada. .</t>
  </si>
  <si>
    <t>SIA regional (SIPGA) alimentado con datos de la red Hidrometeorológica</t>
  </si>
  <si>
    <t xml:space="preserve">En la página web de la entidad se encuentra publicada la información recolectada en desarrollo del proyecto 
https://www.corpocesar.gov.co/monitoreo-de-la-oferta-del-recurso-hidrico.html.
</t>
  </si>
  <si>
    <t>3204.01.03  Gestion para la  implementación y operación de instrumentos de monitoreo de los Recursos Naturales</t>
  </si>
  <si>
    <t>Monitoreo del recurso hídrico superficial y subterráneo</t>
  </si>
  <si>
    <t xml:space="preserve">a) Se realizaron 3 salidas de campo encaminadas al monitoreo de la oferta del recurso hídrico superficial.
b) 01 al 07 de julio de 2021 se desarrolló abarcando las corrientes Badillo, Ariguaní, Manaure, Chiriaimo, Magiriaimo, Sicarare, Maracas, Sororia, San Alberto, Torcoroma, Río de Oro, Buturama, Guaduas, Singararé, Honda y San Pedro.
c) 19 al 23 de octubre de 2021 para aforo de las corrientes Manaure, Chiriaimo, Sicarare, Maracas, Socomba, Sororia, Tucuy, Ariguaní, Ariguanicito, Garupal, y Guatapurí.
d) 14 al 18 de diciembre de 2021, en las corrientes Manaure, Chiriaimo, Sicarare, Maracas, Sororia, Tucuy, Ariguaní, Ariguanicito, Garupal y Badillo. 
e) La información se encuentra publicada en la página web de la entidad en el enlace
      https://www.corpocesar.gov.co/monitoreo-de-la-oferta-del-recurso-hidrico.html
</t>
  </si>
  <si>
    <t>3204.01.04 Gestion para la  divulgación e incorporación de resultados de monitoreo de los Recursos Naturales al SIA regional</t>
  </si>
  <si>
    <t>Resultados de la gestión de monitoreo incorporados al SIA regional</t>
  </si>
  <si>
    <t>3204.01.05 Fortalecimiento del SIA regional</t>
  </si>
  <si>
    <t>SIA regional alimentado con datos de gestión ambiental regional</t>
  </si>
  <si>
    <t xml:space="preserve">En la página web de la entidad se encuentra alimentada la información recolectada en desarrollo del proyecto, para que pueda ser consultada por la comunidad en general, en la dirección https://www.corpocesar.gov.co/monitoreo-de-la-oferta-del-recurso-hidrico.html.
Así mismo, se ha publicado información derivada de los estudios que sobre POMCAS, Planes de Manejo de Acuíferos, riesgos naturales, conservación de recursos naturales renovables, información sobre conceptos de variabilidad climática y cambio climático, que dan cuenta de la gestión realizada por la entidad. Se publican en forma diaria los boletines sobre las condiciones hidrometeorológica y eventos de alerta natural para la jurisdicción de CORPOCESAR, desde las coordinaciones de RESPEL y Recursos Hídricos Digitalización de la información para cargue en el SIRH.
</t>
  </si>
  <si>
    <t>3204.01.06 Evaluación de la Evolución dinámica del PGAR y los impactos de la gestión ambiental sobre la sostenibilidad del desarrollo socio-económico y los Indicadores Mínimos de Gestión</t>
  </si>
  <si>
    <t>Número de Evaluación realizada</t>
  </si>
  <si>
    <t>Con base en el resultado del informe de gestión anual de la vigencia 2020 se realizó el diligenciamiento de los indicadores del PGAR para evaluar el nivel de cumplimiento de este instrumento</t>
  </si>
  <si>
    <t>Proyecto 3204.02 Implementación de la estrategia  de Comunicación política de la gestión ambiental para la divulgación interinstitucional y  aprehensión ciudadana al sector ambiental</t>
  </si>
  <si>
    <t>3204.02.01 Comunicación y cultura ciudadana para desincentivar el uso de productos plástico de un solo uso e icopor.</t>
  </si>
  <si>
    <t>Número Campañas realizadas/año</t>
  </si>
  <si>
    <t xml:space="preserve">La Oficina de Comunicaciones, continua con implementando la campaña, #MenosPlásticoMásConciencia, a través de la realización de mensajes reflexivos que permitan disminuir el uso de productos plásticos de un solo uso. 
Se socializaron en los grupos, CorpocesarMeInforma, funcionarios y contratistas de la entidad y en las diferentes en las plataformas digítales de Corpocesar.
Campañas realizadas/año durante el año 2021: 1) #MenosPlásticoMásConciencia ,2) #CorpocesarEresTúSomosTodos
</t>
  </si>
  <si>
    <t>3204.02.03 Uso inteligente de las redes sociales para la promoción de medidas de concienciación ambiental y comunicaciones de eventos y acciones</t>
  </si>
  <si>
    <t>Número de Redes sociales institucionalizadas y organizadas</t>
  </si>
  <si>
    <t xml:space="preserve">Estan implementadas y funcionando las redes sociales de Facebook, Instagram y Twitter para tal fin, a través del Plan de Medios se contrató a un Comunity Manager, durante el segundo semestre se realizaron las publicaciones de 63 post sobre fechas ambientales y eventos de la Corporación.
</t>
  </si>
  <si>
    <t>3204.02.04 Planeación, gestión y optimización del plan de medios (radio, TV, prensa, etc)</t>
  </si>
  <si>
    <t>Plan en ejecución/año</t>
  </si>
  <si>
    <t xml:space="preserve">Se contrató el Plan de Medios y se ejecutó a satisfacción. (radio, TV y prensa escrita)
</t>
  </si>
  <si>
    <t>3204.02.02 Consecución de reportes de la gestión a través de ASOCARS y entidades adscritas al sector.</t>
  </si>
  <si>
    <t>Eficacia en reportes requeridos</t>
  </si>
  <si>
    <t>Se participó en todas las mesas de trabajo convocadas por ASOCAR y Ministerio de Medio Ambiente, se han enviado los reportes de IEDI de la vigencia 2020. En el segundo semestre se participó en reuniones convocadas por ASOCAR en referencia a la adopción del sistema CARDINAL.</t>
  </si>
  <si>
    <t>Sobretasa ambiental - Urbano-Vigencia actual</t>
  </si>
  <si>
    <t>Contribución sector eléctrico - Generadores de energía convencional - Vigencia Actual</t>
  </si>
  <si>
    <t>Evaluación de licencias y trámites ambientales - Vigencia Actual</t>
  </si>
  <si>
    <t>Seguimiento a licencias y trámites ambientales - Vigencia Actual</t>
  </si>
  <si>
    <t>Tasa por el uso del agua - Vigencia Actual</t>
  </si>
  <si>
    <t>Tasa retributiva -  Vigencia Actual</t>
  </si>
  <si>
    <t>Tasa por aprovechamiento forestal - Vigencia Actual</t>
  </si>
  <si>
    <t>Multas ambientales - Vigencia Actual</t>
  </si>
  <si>
    <t>3202.03.02(A)  Formulación conjunta con el MADS, de portafolio de proyectos en núcleos activos de deforestación, y gestión e implementación.</t>
  </si>
  <si>
    <t>3202.03.02 (B)  Formulación conjunta con el MADS, de portafolio de proyectos en núcleos activos de deforestación, y gestión e implementación.</t>
  </si>
  <si>
    <t xml:space="preserve">Proyecto 3299.06 Fortalecimiento de las  TIC´s .según lineamientos de MINTICs y la política de gobierno digital, en Corpocesar. </t>
  </si>
  <si>
    <t>Acciones - Recuperación de Cartera</t>
  </si>
  <si>
    <t>Depósitos</t>
  </si>
  <si>
    <t>Recursos no apropiados</t>
  </si>
  <si>
    <t xml:space="preserve">Programa/Proyecto/Actividad PAI </t>
  </si>
  <si>
    <t>SIN INFORMACIÓN</t>
  </si>
  <si>
    <t>Número de cuencas con POMCAS aprobados, bajo el nuevo marco normativo (Decreto 1076 de 2015) a 31 de diciembre de 2021:</t>
  </si>
  <si>
    <t>3203. GESTION INTEGRAL DEL RECURSO HIDRICO - 3203.01  Gestión integral del recurso hídrico y materialización de la ZOAT en el area de jurisdiccion de Corpocesar.</t>
  </si>
  <si>
    <t>Acuerdo 005 del 22 de mayo de 2020 (Por medio del cual se aprueba el Plan de Accion Institucional 2020 -2023)</t>
  </si>
  <si>
    <t xml:space="preserve">¿Qué programas o proyectos del Plan de Acción están asociados al indicador? </t>
  </si>
  <si>
    <t xml:space="preserve">¿El indicador no se reporta por limitaciones de información disponible? </t>
  </si>
  <si>
    <t>Número total de cuerpos de agua sujeto de reglamentación de planes de ordenamiento del recurso hídrico (PORH) adoptados a 31/12/2021:</t>
  </si>
  <si>
    <t>Número total de cuerpos de agua con reglamentación del uso de las aguas a 31/12/2021:</t>
  </si>
  <si>
    <t xml:space="preserve">NO SE REPORTA </t>
  </si>
  <si>
    <t>La Corporación formuló y adoptó el POF en vigencias anteriores. Es decir, la meta se cumplió desde la vigencia 2016 que fue adoptado el POF según resolución 1235 de 2017</t>
  </si>
  <si>
    <t xml:space="preserve">Los Besotes y PNR Serrania del Perija </t>
  </si>
  <si>
    <r>
      <t xml:space="preserve">Número de estaciones de monitoreo del aire instaladas 17 de las cuales,  17 monitorean  </t>
    </r>
    <r>
      <rPr>
        <b/>
        <sz val="10"/>
        <color theme="1"/>
        <rFont val="Calibri"/>
        <family val="2"/>
        <scheme val="minor"/>
      </rPr>
      <t xml:space="preserve">PM10 y </t>
    </r>
    <r>
      <rPr>
        <sz val="10"/>
        <color theme="1"/>
        <rFont val="Calibri"/>
        <family val="2"/>
        <scheme val="minor"/>
      </rPr>
      <t>11</t>
    </r>
    <r>
      <rPr>
        <b/>
        <sz val="10"/>
        <color theme="1"/>
        <rFont val="Calibri"/>
        <family val="2"/>
        <scheme val="minor"/>
      </rPr>
      <t xml:space="preserve"> PM2.5</t>
    </r>
  </si>
  <si>
    <t>Para la vigencia 2021, no se programó meta para este indicador,  Acuerdo 005 del 22 de mayo de 2020 (Por medio del cual se aprueba el Plan de Accion Institucional 2020 -2023)</t>
  </si>
  <si>
    <r>
      <rPr>
        <b/>
        <sz val="10"/>
        <color theme="1"/>
        <rFont val="Calibri"/>
        <family val="2"/>
        <scheme val="minor"/>
      </rPr>
      <t>3203.</t>
    </r>
    <r>
      <rPr>
        <sz val="10"/>
        <color theme="1"/>
        <rFont val="Calibri"/>
        <family val="2"/>
        <scheme val="minor"/>
      </rPr>
      <t xml:space="preserve"> GESTIÓN INTEGRAL DEL RECURSO HÍDRICO  </t>
    </r>
    <r>
      <rPr>
        <b/>
        <sz val="10"/>
        <color theme="1"/>
        <rFont val="Calibri"/>
        <family val="2"/>
        <scheme val="minor"/>
      </rPr>
      <t xml:space="preserve">3203.01  </t>
    </r>
    <r>
      <rPr>
        <sz val="10"/>
        <color theme="1"/>
        <rFont val="Calibri"/>
        <family val="2"/>
        <scheme val="minor"/>
      </rPr>
      <t>Gestión integral del recurso hídrico y materialización de la ZOAT en el area de jurisdiccion de Corpocesar.</t>
    </r>
  </si>
  <si>
    <r>
      <rPr>
        <b/>
        <sz val="10"/>
        <color theme="1"/>
        <rFont val="Calibri"/>
        <family val="2"/>
        <scheme val="minor"/>
      </rPr>
      <t>3203</t>
    </r>
    <r>
      <rPr>
        <sz val="10"/>
        <color theme="1"/>
        <rFont val="Calibri"/>
        <family val="2"/>
        <scheme val="minor"/>
      </rPr>
      <t xml:space="preserve">. GESTIÓN INTEGRAL  DEL RECURSO HÍDRICO  </t>
    </r>
    <r>
      <rPr>
        <b/>
        <sz val="10"/>
        <color theme="1"/>
        <rFont val="Calibri"/>
        <family val="2"/>
        <scheme val="minor"/>
      </rPr>
      <t>3203.01</t>
    </r>
    <r>
      <rPr>
        <sz val="10"/>
        <color theme="1"/>
        <rFont val="Calibri"/>
        <family val="2"/>
        <scheme val="minor"/>
      </rPr>
      <t xml:space="preserve">  Gestión integral del recurso hídrico y materialización de la ZOAT en el area de jurisdiccion de Corpocesar.</t>
    </r>
  </si>
  <si>
    <r>
      <rPr>
        <b/>
        <sz val="10"/>
        <rFont val="Calibri"/>
        <family val="2"/>
        <scheme val="minor"/>
      </rPr>
      <t>3203.</t>
    </r>
    <r>
      <rPr>
        <sz val="10"/>
        <rFont val="Calibri"/>
        <family val="2"/>
        <scheme val="minor"/>
      </rPr>
      <t xml:space="preserve"> GESTIÓN INTEGRAL DEL RECURSO HÍDRICO  </t>
    </r>
    <r>
      <rPr>
        <b/>
        <sz val="10"/>
        <rFont val="Calibri"/>
        <family val="2"/>
        <scheme val="minor"/>
      </rPr>
      <t>3203.01</t>
    </r>
    <r>
      <rPr>
        <sz val="10"/>
        <rFont val="Calibri"/>
        <family val="2"/>
        <scheme val="minor"/>
      </rPr>
      <t xml:space="preserve">  Gestión integral del recurso hídrico y materialización de la ZOAT en el area de jurisdiccion de Corpocesar.</t>
    </r>
  </si>
  <si>
    <r>
      <rPr>
        <b/>
        <sz val="10"/>
        <color theme="1"/>
        <rFont val="Calibri"/>
        <family val="2"/>
        <scheme val="minor"/>
      </rPr>
      <t>3203.</t>
    </r>
    <r>
      <rPr>
        <sz val="10"/>
        <color theme="1"/>
        <rFont val="Calibri"/>
        <family val="2"/>
        <scheme val="minor"/>
      </rPr>
      <t xml:space="preserve"> GESTIÓN INTEGRAL  DEL RECURSO HÍDRICO </t>
    </r>
    <r>
      <rPr>
        <b/>
        <sz val="10"/>
        <color theme="1"/>
        <rFont val="Calibri"/>
        <family val="2"/>
        <scheme val="minor"/>
      </rPr>
      <t xml:space="preserve"> 3203.01</t>
    </r>
    <r>
      <rPr>
        <sz val="10"/>
        <color theme="1"/>
        <rFont val="Calibri"/>
        <family val="2"/>
        <scheme val="minor"/>
      </rPr>
      <t xml:space="preserve">  Gestión integral del recurso hídrico y materialización de la ZOAT en el area de jurisdiccion de Corpocesar.</t>
    </r>
  </si>
  <si>
    <r>
      <rPr>
        <b/>
        <sz val="10"/>
        <color theme="1"/>
        <rFont val="Calibri"/>
        <family val="2"/>
        <scheme val="minor"/>
      </rPr>
      <t>3203</t>
    </r>
    <r>
      <rPr>
        <sz val="10"/>
        <color theme="1"/>
        <rFont val="Calibri"/>
        <family val="2"/>
        <scheme val="minor"/>
      </rPr>
      <t xml:space="preserve">. GESTION INTEGRAL DEL RECURSO HIDRICO - </t>
    </r>
    <r>
      <rPr>
        <b/>
        <sz val="10"/>
        <color theme="1"/>
        <rFont val="Calibri"/>
        <family val="2"/>
        <scheme val="minor"/>
      </rPr>
      <t>3203.01</t>
    </r>
    <r>
      <rPr>
        <sz val="10"/>
        <color theme="1"/>
        <rFont val="Calibri"/>
        <family val="2"/>
        <scheme val="minor"/>
      </rPr>
      <t xml:space="preserve">  Gestión integral del recurso hídrico y materialización de la ZOAT en el area de jurisdiccion de Corpocesar.</t>
    </r>
  </si>
  <si>
    <r>
      <rPr>
        <b/>
        <sz val="10"/>
        <color theme="1"/>
        <rFont val="Calibri"/>
        <family val="2"/>
        <scheme val="minor"/>
      </rPr>
      <t>3201</t>
    </r>
    <r>
      <rPr>
        <sz val="10"/>
        <color theme="1"/>
        <rFont val="Calibri"/>
        <family val="2"/>
        <scheme val="minor"/>
      </rPr>
      <t xml:space="preserve">. FORTALECIMIENTO DEL DESEMPEÑO AMBIENTAL DE LOS SECTORES PRODUCTIVOS </t>
    </r>
    <r>
      <rPr>
        <b/>
        <sz val="10"/>
        <color theme="1"/>
        <rFont val="Calibri"/>
        <family val="2"/>
        <scheme val="minor"/>
      </rPr>
      <t>3201.05</t>
    </r>
    <r>
      <rPr>
        <sz val="10"/>
        <color theme="1"/>
        <rFont val="Calibri"/>
        <family val="2"/>
        <scheme val="minor"/>
      </rPr>
      <t xml:space="preserve"> Gestión integral del suelo para la recuperación de este recurso natural en el departamento del Cesar.</t>
    </r>
  </si>
  <si>
    <r>
      <rPr>
        <b/>
        <sz val="10"/>
        <color theme="1"/>
        <rFont val="Calibri"/>
        <family val="2"/>
        <scheme val="minor"/>
      </rPr>
      <t>3202</t>
    </r>
    <r>
      <rPr>
        <sz val="10"/>
        <color theme="1"/>
        <rFont val="Calibri"/>
        <family val="2"/>
        <scheme val="minor"/>
      </rPr>
      <t>. CONSERVACIÓN DE LA BIODIVERSIDAD Y SUS SERVICIOS ECOSITÉMICOS</t>
    </r>
    <r>
      <rPr>
        <b/>
        <sz val="10"/>
        <color theme="1"/>
        <rFont val="Calibri"/>
        <family val="2"/>
        <scheme val="minor"/>
      </rPr>
      <t xml:space="preserve"> 3202.05.</t>
    </r>
    <r>
      <rPr>
        <sz val="10"/>
        <color theme="1"/>
        <rFont val="Calibri"/>
        <family val="2"/>
        <scheme val="minor"/>
      </rPr>
      <t xml:space="preserve"> Gestión del SIRAP y/o implementación de otras estrategias de conservación de la biodiversidad y formulación e implementación y apoyo de PM de AP en el dpto. del Cesar.</t>
    </r>
  </si>
  <si>
    <r>
      <rPr>
        <b/>
        <sz val="10"/>
        <color theme="1"/>
        <rFont val="Calibri"/>
        <family val="2"/>
        <scheme val="minor"/>
      </rPr>
      <t>3202</t>
    </r>
    <r>
      <rPr>
        <sz val="10"/>
        <color theme="1"/>
        <rFont val="Calibri"/>
        <family val="2"/>
        <scheme val="minor"/>
      </rPr>
      <t xml:space="preserve">. CONSERVACIÓN DE LA BIODIVERSIDAD Y SUS SERVICIOS ECOSITÉMICOS, </t>
    </r>
    <r>
      <rPr>
        <b/>
        <sz val="10"/>
        <color theme="1"/>
        <rFont val="Calibri"/>
        <family val="2"/>
        <scheme val="minor"/>
      </rPr>
      <t>3202.06.</t>
    </r>
    <r>
      <rPr>
        <sz val="10"/>
        <color theme="1"/>
        <rFont val="Calibri"/>
        <family val="2"/>
        <scheme val="minor"/>
      </rPr>
      <t xml:space="preserve"> Fortalecimiento, gestión e implementación de medidas para el manejo de la fauna en el dpto. del Cesar</t>
    </r>
  </si>
  <si>
    <r>
      <rPr>
        <b/>
        <sz val="10"/>
        <color theme="1"/>
        <rFont val="Calibri"/>
        <family val="2"/>
        <scheme val="minor"/>
      </rPr>
      <t>3202.</t>
    </r>
    <r>
      <rPr>
        <sz val="10"/>
        <color theme="1"/>
        <rFont val="Calibri"/>
        <family val="2"/>
        <scheme val="minor"/>
      </rPr>
      <t xml:space="preserve"> CONSERVACIÓN DE LA BIODIVERSIDAD Y SUS SERVICIOS ECOSITÉMICOS, </t>
    </r>
    <r>
      <rPr>
        <b/>
        <sz val="10"/>
        <color theme="1"/>
        <rFont val="Calibri"/>
        <family val="2"/>
        <scheme val="minor"/>
      </rPr>
      <t>3202.06</t>
    </r>
    <r>
      <rPr>
        <sz val="10"/>
        <color theme="1"/>
        <rFont val="Calibri"/>
        <family val="2"/>
        <scheme val="minor"/>
      </rPr>
      <t>. Fortalecimiento, gestión e implementación de medidas para el manejo de la fauna en el dpto. del Cesar</t>
    </r>
  </si>
  <si>
    <r>
      <rPr>
        <b/>
        <sz val="10"/>
        <color theme="1"/>
        <rFont val="Calibri"/>
        <family val="2"/>
        <scheme val="minor"/>
      </rPr>
      <t xml:space="preserve">3202. </t>
    </r>
    <r>
      <rPr>
        <sz val="10"/>
        <color theme="1"/>
        <rFont val="Calibri"/>
        <family val="2"/>
        <scheme val="minor"/>
      </rPr>
      <t>CONSERVACIÓN DE LA BIODIVERSIDAD Y SUS SERVICIOS ECOSISTÉMICOS</t>
    </r>
    <r>
      <rPr>
        <b/>
        <sz val="10"/>
        <color theme="1"/>
        <rFont val="Calibri"/>
        <family val="2"/>
        <scheme val="minor"/>
      </rPr>
      <t xml:space="preserve"> 3202.01 </t>
    </r>
    <r>
      <rPr>
        <sz val="10"/>
        <color theme="1"/>
        <rFont val="Calibri"/>
        <family val="2"/>
        <scheme val="minor"/>
      </rPr>
      <t xml:space="preserve"> Gestión e implementación de acciones integrales para la restauración ecológica en el departamento del Cesar.</t>
    </r>
  </si>
  <si>
    <r>
      <rPr>
        <b/>
        <sz val="10"/>
        <color theme="1"/>
        <rFont val="Calibri"/>
        <family val="2"/>
        <scheme val="minor"/>
      </rPr>
      <t>3201.</t>
    </r>
    <r>
      <rPr>
        <sz val="10"/>
        <color theme="1"/>
        <rFont val="Calibri"/>
        <family val="2"/>
        <scheme val="minor"/>
      </rPr>
      <t xml:space="preserve"> FORTALECIMIENTO DEL DESEMPEÑO AMBIENTAL DE LOS SECTORES PRODUCTIVOS </t>
    </r>
    <r>
      <rPr>
        <b/>
        <sz val="10"/>
        <color theme="1"/>
        <rFont val="Calibri"/>
        <family val="2"/>
        <scheme val="minor"/>
      </rPr>
      <t xml:space="preserve">3201.03 </t>
    </r>
    <r>
      <rPr>
        <sz val="10"/>
        <color theme="1"/>
        <rFont val="Calibri"/>
        <family val="2"/>
        <scheme val="minor"/>
      </rPr>
      <t>Gestión y apoyo regional a la implementación de la estrategia nacional de economía circular y economía ambiental para la producción sostenible.</t>
    </r>
  </si>
  <si>
    <r>
      <t>3201. FORTALECIMIENTO DEL DESEMPEÑO AMBIENTAL DE LOS SECTORES PRODUCTIVOS</t>
    </r>
    <r>
      <rPr>
        <b/>
        <sz val="10"/>
        <color theme="1"/>
        <rFont val="Calibri"/>
        <family val="2"/>
        <scheme val="minor"/>
      </rPr>
      <t xml:space="preserve"> 3201.01 </t>
    </r>
    <r>
      <rPr>
        <sz val="10"/>
        <color theme="1"/>
        <rFont val="Calibri"/>
        <family val="2"/>
        <scheme val="minor"/>
      </rPr>
      <t>Gestión e implementación de estrategias para la recuperación y conservación de la flora y fauna en el Departamento del Cesar, en armonía con el proyecto 3202.02</t>
    </r>
  </si>
  <si>
    <r>
      <t xml:space="preserve">3299. FORTALECIMIENTO DE LA GESTIÓN Y DIRECCIÓN DEL SECTOR AMBIENTE Y DESARROLLO SOSTENIBLE </t>
    </r>
    <r>
      <rPr>
        <b/>
        <sz val="10"/>
        <color theme="1"/>
        <rFont val="Calibri"/>
        <family val="2"/>
        <scheme val="minor"/>
      </rPr>
      <t>3299.03</t>
    </r>
    <r>
      <rPr>
        <sz val="10"/>
        <color theme="1"/>
        <rFont val="Calibri"/>
        <family val="2"/>
        <scheme val="minor"/>
      </rPr>
      <t xml:space="preserve"> Fortalecimiento institucional sostenible del ejercicio de la autoridad ambiental regional (seguimiento, control y vigilancia) y apoyo integral de los procesos operativos de trámites ambientales otorgados por la Corporación.</t>
    </r>
  </si>
  <si>
    <t>3299. FORTALECIMIENTO DE LA GESTIÓN Y DIRECCIÓN DEL SECTOR AMBIENTE Y DESARROLLO SOSTENIBLE, 3299.03 Fortalecimiento institucional sostenible del ejercicio de la autoridad ambiental regional (seguimiento, control y vigilancia) y apoyo integral de los procesos operativos de trámites ambientales otorgados por la Corporación.</t>
  </si>
  <si>
    <r>
      <t xml:space="preserve">3299. FORTALECIMIENTO DE LA GESTIÓN Y DIRECCIÓN DEL SECTOR AMBIENTE Y DESARROLLO SOSTENIBLE, </t>
    </r>
    <r>
      <rPr>
        <b/>
        <sz val="10"/>
        <color theme="1"/>
        <rFont val="Calibri"/>
        <family val="2"/>
        <scheme val="minor"/>
      </rPr>
      <t>3299.03</t>
    </r>
    <r>
      <rPr>
        <sz val="10"/>
        <color theme="1"/>
        <rFont val="Calibri"/>
        <family val="2"/>
        <scheme val="minor"/>
      </rPr>
      <t xml:space="preserve"> Fortalecimiento institucional sostenible del ejercicio de la autoridad ambiental regional (seguimiento, control y vigilancia) y apoyo integral de los procesos operativos de trámites ambientales otorgados por la Corporación.</t>
    </r>
  </si>
  <si>
    <r>
      <t xml:space="preserve">3205. ORDENAMIENTO AMBIENTAL TERRITORIAL, </t>
    </r>
    <r>
      <rPr>
        <b/>
        <sz val="10"/>
        <color theme="1"/>
        <rFont val="Calibri"/>
        <family val="2"/>
        <scheme val="minor"/>
      </rPr>
      <t>3205.02</t>
    </r>
    <r>
      <rPr>
        <sz val="10"/>
        <color theme="1"/>
        <rFont val="Calibri"/>
        <family val="2"/>
        <scheme val="minor"/>
      </rPr>
      <t xml:space="preserve"> Asistencia técnica a todos los municipios de la jurisdicción en los procesos de revisión y ajuste de los POT, siguiendo guias del SINA</t>
    </r>
  </si>
  <si>
    <r>
      <t xml:space="preserve">3201. FORTALECIMIENTO DEL DESEMPEÑO AMBIENTAL DE LOS SECTORES PRODUCTIVOS. </t>
    </r>
    <r>
      <rPr>
        <b/>
        <sz val="10"/>
        <color theme="1"/>
        <rFont val="Calibri"/>
        <family val="2"/>
        <scheme val="minor"/>
      </rPr>
      <t xml:space="preserve"> 3201.06.</t>
    </r>
    <r>
      <rPr>
        <sz val="10"/>
        <color theme="1"/>
        <rFont val="Calibri"/>
        <family val="2"/>
        <scheme val="minor"/>
      </rPr>
      <t xml:space="preserve">  Gestión integral del recurso aire, articulada a  la prioridad regional del MADS,  en áreas estratégicas del dpto del Cesar. </t>
    </r>
  </si>
  <si>
    <t>3208. EDUCACIÓN AMBIENTAL, 3208.01, 3208.02, 3208.03</t>
  </si>
  <si>
    <r>
      <t xml:space="preserve">3204. GESTIÓN DE LA INFORMACIÓN Y EL CONOCIMIENTO AMBIENTAL, </t>
    </r>
    <r>
      <rPr>
        <b/>
        <sz val="10"/>
        <color theme="1"/>
        <rFont val="Calibri"/>
        <family val="2"/>
        <scheme val="minor"/>
      </rPr>
      <t>3204.01</t>
    </r>
    <r>
      <rPr>
        <sz val="10"/>
        <color theme="1"/>
        <rFont val="Calibri"/>
        <family val="2"/>
        <scheme val="minor"/>
      </rPr>
      <t xml:space="preserve">  Gestión de conocimiento e información ambiental para la promoción del 
desarrollo ambiental sostenible. </t>
    </r>
  </si>
  <si>
    <r>
      <rPr>
        <b/>
        <sz val="10"/>
        <color theme="1"/>
        <rFont val="Calibri"/>
        <family val="2"/>
        <scheme val="minor"/>
      </rPr>
      <t>3205.0</t>
    </r>
    <r>
      <rPr>
        <sz val="10"/>
        <color theme="1"/>
        <rFont val="Calibri"/>
        <family val="2"/>
        <scheme val="minor"/>
      </rPr>
      <t xml:space="preserve">1 Fortalecimiento del proceso de Ordenamiento Territorial como estrategia  para promover el  desarrollo terrirorial sostenible, en el dpto del Cesar.  </t>
    </r>
    <r>
      <rPr>
        <b/>
        <sz val="10"/>
        <color theme="1"/>
        <rFont val="Calibri"/>
        <family val="2"/>
        <scheme val="minor"/>
      </rPr>
      <t xml:space="preserve"> 3205.01.01 </t>
    </r>
    <r>
      <rPr>
        <sz val="10"/>
        <color theme="1"/>
        <rFont val="Calibri"/>
        <family val="2"/>
        <scheme val="minor"/>
      </rPr>
      <t xml:space="preserve">Actualización de las determinantes ambientales para el Ordenamiento territorial (énfasis en cambio climático, GRD, suelo suburbano, EEP)  </t>
    </r>
  </si>
  <si>
    <t>Quebrada Buturama y otros directos al Magdalena medio</t>
  </si>
  <si>
    <t>Directo Bajo Magdalena entre el Banco y Plato</t>
  </si>
  <si>
    <t>Superficie cubierta en el Plan de Ordenación Forestal adoptado a 31/12/2021 (ha)</t>
  </si>
  <si>
    <t>Se relacionan los sectores desarrollados y relacionan algunas de los negiocios apoyados por sector.</t>
  </si>
  <si>
    <t>*En el marco del convenio MADS y la WWF, se desarrollaron procesos con CORPOCESAR y otros actores mediante reuniones virtuales y presenciales para la aplicación de la herramienta de efectividad y manejo de las áreas protegida EMAP PNR besotes 3 reuniones, EMAP RFPR ceibotes 2 reuniones, EMAP PNR Perijá 4 reuniones y EMAP RFPN caño Alonso 2 reuniones.   
                                                                                                                                                                                                                                                                                                                                                                                                                                                   - PNR Serrania del perija: Se contruyeron estufas ecológicas en los municipios de La Paz, Manaure y Codazzi, pertenencientes al PNR Perijá.</t>
  </si>
  <si>
    <r>
      <rPr>
        <b/>
        <sz val="10"/>
        <color theme="1"/>
        <rFont val="Calibri"/>
        <family val="2"/>
        <scheme val="minor"/>
      </rPr>
      <t>3202.</t>
    </r>
    <r>
      <rPr>
        <sz val="10"/>
        <color theme="1"/>
        <rFont val="Calibri"/>
        <family val="2"/>
        <scheme val="minor"/>
      </rPr>
      <t xml:space="preserve"> CONSERVACIÓN DE LA BIODIVERSIDAD Y SUS SERVICIOS ECOSITÉMICOS.  </t>
    </r>
    <r>
      <rPr>
        <b/>
        <sz val="10"/>
        <color theme="1"/>
        <rFont val="Calibri"/>
        <family val="2"/>
        <scheme val="minor"/>
      </rPr>
      <t>3202.05</t>
    </r>
    <r>
      <rPr>
        <sz val="10"/>
        <color theme="1"/>
        <rFont val="Calibri"/>
        <family val="2"/>
        <scheme val="minor"/>
      </rPr>
      <t xml:space="preserve">. Gestión del SIRAP  y/o implementación de otras estrategias de conservación de la biodiversidad y formulación e implementación y apoyo de PM  de AP  en el dpto. del Cesar </t>
    </r>
    <r>
      <rPr>
        <b/>
        <sz val="10"/>
        <color theme="1"/>
        <rFont val="Calibri"/>
        <family val="2"/>
        <scheme val="minor"/>
      </rPr>
      <t>3202.05.06</t>
    </r>
    <r>
      <rPr>
        <sz val="10"/>
        <color theme="1"/>
        <rFont val="Calibri"/>
        <family val="2"/>
        <scheme val="minor"/>
      </rPr>
      <t>. Gestión para la implementación de PM de APR y otras estrategias de conservación.</t>
    </r>
  </si>
  <si>
    <t>POI</t>
  </si>
  <si>
    <t>ADRIANA GARCIA AREVALO</t>
  </si>
  <si>
    <t xml:space="preserve">SUBDIRECCION DE PLANEACION </t>
  </si>
  <si>
    <t xml:space="preserve">SUBDIRECTORA DE PLANEACION </t>
  </si>
  <si>
    <r>
      <rPr>
        <sz val="11"/>
        <rFont val="Arial"/>
        <family val="2"/>
      </rPr>
      <t>57+605+557+605+5748960- Fax: 57+605+573718174</t>
    </r>
    <r>
      <rPr>
        <sz val="11"/>
        <color rgb="FFFFFFFF"/>
        <rFont val="Arial"/>
        <family val="2"/>
      </rPr>
      <t>8960- Fax: 57+605+5737181</t>
    </r>
  </si>
  <si>
    <t xml:space="preserve">No se reporta en la vigencia </t>
  </si>
  <si>
    <t>Se realizaron los seguimientos a totalidad de los PUEAA habilitados para adelantar seguimientos (167 PUEAA aprobados y con seguimiento)</t>
  </si>
  <si>
    <r>
      <rPr>
        <b/>
        <sz val="10"/>
        <color theme="1"/>
        <rFont val="Calibri"/>
        <family val="2"/>
        <scheme val="minor"/>
      </rPr>
      <t>CONCESIONES DE AGUA</t>
    </r>
    <r>
      <rPr>
        <sz val="10"/>
        <color theme="1"/>
        <rFont val="Calibri"/>
        <family val="2"/>
        <scheme val="minor"/>
      </rPr>
      <t>: Se cuenta con un registro de 923 usuarios y 1325 concesiones agrupadas en 331 expedientes de las cuales se priorizo realizar visita a 167 expedientes debido a que la entidad no cuenta con la capacidad para desarrollar el 100% de los seguimientos requeridos.</t>
    </r>
  </si>
  <si>
    <t>FOMENTO E IMPULSO A EMPRENDEDORES</t>
  </si>
  <si>
    <t>COMERCIO, TURISMO</t>
  </si>
  <si>
    <t>Superficie de áreas protegidas inscritas en el RUNAP a 31/12/2022 (ha)</t>
  </si>
  <si>
    <t>Número total de áreas protegidas regionales declaradas, homologadas o recategorizadas, e inscritas en el RUNAP a 31/12/2022(número)</t>
  </si>
  <si>
    <t>Número de áreas protegidas inscritas en el RUNAP a 31/12/20212(número)</t>
  </si>
  <si>
    <t>Superficie total de áreas protegidas regionales declaradas, homologadas o recategorizadas, inscritas en el RUNAP a 31/12/2022 (ha) (C+D)</t>
  </si>
  <si>
    <t>Paramo serrania del Perija(Se adelanto gestion con CORPOGUAJIRA para suscribir la comision conjunta para desarrollar el PM del paramo, se manifiesta que el 84% del paramo delimitado se encuentra declarado como un parque natural regional el cual ya cuenta con su respectivo PM el cual fue formulado y adoptado por la corporacion en 2019 teniendo en cuenta lo establecido y solicitado por el MADS) Sierra Nevada de Santa Marta (Se adelanto  gestion con COPAMAG   y Parques Nacionales para desarrollar el PM el 94% de este paramo hace parte del Parque natural sierra nevada de santa marta que cuenta con su PM )</t>
  </si>
  <si>
    <t>Número total de Programas de Uso Eficiente y Ahorro del Agua (PUEAA) aprobados por la Corporación a 31/12/2022:</t>
  </si>
  <si>
    <t>Número total de licencias ambientales vigentes y aprobadas por la Corporación a 31/12/2022:</t>
  </si>
  <si>
    <t>ENERGETICO</t>
  </si>
  <si>
    <t>Número de usuarios de permisos de aprovechamiento forestal a 31/12/2022</t>
  </si>
  <si>
    <t>Número de permisos de aprovechamiento forestal vigentes a 31/12/2022</t>
  </si>
  <si>
    <t>Número de usuarios de vertimientos de agua a 31/12/2022</t>
  </si>
  <si>
    <t>Número de permisos de vertimiento de agua otorgadas a 31/12/2022</t>
  </si>
  <si>
    <t>Número de puntos de vertimientos a 31/12/2022</t>
  </si>
  <si>
    <t>Estado de avance a 31 de diciembre de 2022 (%)</t>
  </si>
  <si>
    <t>Estado de avance a 31 de diciembre de 2022(c)</t>
  </si>
  <si>
    <t>En Fase programatica</t>
  </si>
  <si>
    <t>Acuerdo 005 del 22 de mayo de 2020 (Por medio del cual se aprueba el Plan de Accion Institucional 2020 -2023) No esta contenplada para la vivencia 2022</t>
  </si>
  <si>
    <t>Número de usuarios de agua a 31/12/2022</t>
  </si>
  <si>
    <t>Número de concesiones de agua otorgadas a 31/12/2022</t>
  </si>
  <si>
    <t>Número de captaciones de agua otorgadas a 31/12/2022</t>
  </si>
  <si>
    <t>INDICE DE CALIDAD AMBIENTAL URBANA</t>
  </si>
  <si>
    <t>V4 Bomberos</t>
  </si>
  <si>
    <t>Corte al 31 de Diciembre de 2022</t>
  </si>
  <si>
    <t xml:space="preserve">Nota. Fuera de servicio. En este punto no se registran datos, este equipo fue retirado de la red de monitoreo, la fecha de retiro fue el 26 de septiembre de 2021 </t>
  </si>
  <si>
    <t>SIRH: En la vigencia 2022 se organizo la informacion a reportar en la plantilla para cargue masivo, estamos a la espera de los productos de una consultoria que entregara la codificacion de fuentes hidricas para realizar cargue a la plataforma 
SNIF: La corporacion tiene el reporte para cargue pero la plataforma no esta habilitada para tal fin</t>
  </si>
  <si>
    <t xml:space="preserve">Los municipios no finalizan el tramite en lo relacionado al aporte de la informacion requeridad por la corporacion el en proceso de evaluacion y se declara el procedimiento de desestimiento de la solicitud, a pesar de esta situacin CORPOCESAR realiza el seguimiento a la totalidad de los PSMV
</t>
  </si>
  <si>
    <t xml:space="preserve">
Los municipios no finalizan el tramite en lo relacionado al aporte de la informacion requeridad por la corporacion el en proceso de evaluacion y se declara el procedimiento de desestimiento de la solicitud, a pesar de esta situacin CORPOCESAR realiza el seguimiento a la totalidad de los PSMV
</t>
  </si>
  <si>
    <t>Activa y pasiva</t>
  </si>
  <si>
    <t xml:space="preserve">Recuperación y rehabilitación </t>
  </si>
  <si>
    <r>
      <rPr>
        <b/>
        <sz val="10"/>
        <color theme="1"/>
        <rFont val="Calibri"/>
        <family val="2"/>
        <scheme val="minor"/>
      </rPr>
      <t>3202.</t>
    </r>
    <r>
      <rPr>
        <sz val="10"/>
        <color theme="1"/>
        <rFont val="Calibri"/>
        <family val="2"/>
        <scheme val="minor"/>
      </rPr>
      <t xml:space="preserve"> CONSERVACIÓN DE LA BIODIVERSIDAD Y SUS SERVICIOS ECOSITÉMICOS 
Proyecto Proyecto 3202.05 Gestión del SIRAP  y/o implementación de otras estrategias de conservación de la biodiversidad y formulación e implementación y apoyo de PM  de AP  en el dpto. del Cesar.  </t>
    </r>
    <r>
      <rPr>
        <b/>
        <sz val="10"/>
        <color theme="1"/>
        <rFont val="Calibri"/>
        <family val="2"/>
        <scheme val="minor"/>
      </rPr>
      <t xml:space="preserve"> </t>
    </r>
    <r>
      <rPr>
        <sz val="10"/>
        <color theme="1"/>
        <rFont val="Calibri"/>
        <family val="2"/>
        <scheme val="minor"/>
      </rPr>
      <t xml:space="preserve"> </t>
    </r>
  </si>
  <si>
    <t>Gestion Ambiental Urbana</t>
  </si>
  <si>
    <t>3201. FORTALECIMIENTO DEL DESEMPEÑO AMBIENTAL DE LOS SECTORES PRODUCTIVOS, 3201.02. Gestión, coordinación,  e implementación de políticas locales de resiliencia y sostenibilidad ambiental urbana en el área de jurisdicción de Corpocesar.</t>
  </si>
  <si>
    <t>3201. FORTALECIMIENTO DEL DESEMPEÑO AMBIENTAL DE LOS SECTORES PRODUCTIVOS. Proyecto 3201.03.Gestión y apoyo regional a  la implementación de la estrategia nacional de Economía  circular y  economía ambiental para la producción sostenible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</si>
</sst>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4" formatCode="_-&quot;$&quot;\ * #,##0.00_-;\-&quot;$&quot;\ * #,##0.00_-;_-&quot;$&quot;\ * &quot;-&quot;??_-;_-@_-"/>
    <numFmt numFmtId="43" formatCode="_-* #,##0.00_-;\-* #,##0.00_-;_-* &quot;-&quot;??_-;_-@_-"/>
    <numFmt numFmtId="164" formatCode="0.0"/>
    <numFmt numFmtId="165" formatCode="_-* #,##0_-;\-* #,##0_-;_-* &quot;-&quot;??_-;_-@_-"/>
    <numFmt numFmtId="166" formatCode="_(* #,##0.00_);_(* \(#,##0.00\);_(* &quot;-&quot;??_);_(@_)"/>
    <numFmt numFmtId="167" formatCode="_(* #,##0.000_);_(* \(#,##0.000\);_(* &quot;-&quot;??_);_(@_)"/>
    <numFmt numFmtId="168" formatCode="0.0%"/>
    <numFmt numFmtId="169" formatCode="[$$-240A]\ #,##0"/>
    <numFmt numFmtId="170" formatCode="&quot;$&quot;\ #,##0.00"/>
    <numFmt numFmtId="171" formatCode="#,##0.00_);\-#,##0.00"/>
    <numFmt numFmtId="172" formatCode="#,##0.0"/>
    <numFmt numFmtId="173" formatCode="#,##0.000"/>
    <numFmt numFmtId="174" formatCode="[$$-240A]\ #,##0.00"/>
    <numFmt numFmtId="175" formatCode="#,##0.0000"/>
  </numFmts>
  <fonts count="79">
    <font>
      <sz val="11"/>
      <color theme="1"/>
      <name val="Calibri"/>
      <family val="2"/>
      <scheme val="minor"/>
    </font>
    <font>
      <sz val="11"/>
      <color rgb="FF006100"/>
      <name val="Calibri"/>
      <family val="2"/>
      <scheme val="minor"/>
    </font>
    <font>
      <b/>
      <sz val="11"/>
      <color rgb="FF000000"/>
      <name val="Calibri"/>
      <family val="2"/>
      <scheme val="minor"/>
    </font>
    <font>
      <b/>
      <sz val="9"/>
      <color rgb="FF000000"/>
      <name val="Calibri"/>
      <family val="2"/>
      <scheme val="minor"/>
    </font>
    <font>
      <sz val="9"/>
      <color rgb="FF000000"/>
      <name val="Calibri"/>
      <family val="2"/>
      <scheme val="minor"/>
    </font>
    <font>
      <b/>
      <i/>
      <sz val="9"/>
      <color rgb="FF000000"/>
      <name val="Calibri"/>
      <family val="2"/>
      <scheme val="minor"/>
    </font>
    <font>
      <i/>
      <sz val="9"/>
      <color rgb="FF000000"/>
      <name val="Calibri"/>
      <family val="2"/>
      <scheme val="minor"/>
    </font>
    <font>
      <sz val="9"/>
      <color theme="1"/>
      <name val="Calibri"/>
      <family val="2"/>
      <scheme val="minor"/>
    </font>
    <font>
      <sz val="8"/>
      <color rgb="FF000000"/>
      <name val="Calibri"/>
      <family val="2"/>
      <scheme val="minor"/>
    </font>
    <font>
      <sz val="9"/>
      <color rgb="FF000000"/>
      <name val="Calibri"/>
      <family val="2"/>
    </font>
    <font>
      <sz val="7"/>
      <color rgb="FF000000"/>
      <name val="Times New Roman"/>
      <family val="1"/>
    </font>
    <font>
      <vertAlign val="subscript"/>
      <sz val="9"/>
      <color rgb="FF000000"/>
      <name val="Calibri"/>
      <family val="2"/>
      <scheme val="minor"/>
    </font>
    <font>
      <b/>
      <u/>
      <sz val="9"/>
      <color rgb="FF000000"/>
      <name val="Calibri"/>
      <family val="2"/>
      <scheme val="minor"/>
    </font>
    <font>
      <i/>
      <sz val="7"/>
      <color rgb="FF000000"/>
      <name val="Times New Roman"/>
      <family val="1"/>
    </font>
    <font>
      <sz val="10"/>
      <color theme="1"/>
      <name val="Calibri"/>
      <family val="2"/>
      <scheme val="minor"/>
    </font>
    <font>
      <u/>
      <sz val="9"/>
      <color rgb="FF000000"/>
      <name val="Calibri"/>
      <family val="2"/>
      <scheme val="minor"/>
    </font>
    <font>
      <sz val="9"/>
      <color rgb="FF000000"/>
      <name val="Symbol"/>
      <family val="1"/>
      <charset val="2"/>
    </font>
    <font>
      <u/>
      <sz val="11"/>
      <color theme="10"/>
      <name val="Calibri"/>
      <family val="2"/>
      <scheme val="minor"/>
    </font>
    <font>
      <sz val="12"/>
      <color rgb="FF000000"/>
      <name val="Calibri"/>
      <family val="2"/>
    </font>
    <font>
      <sz val="7"/>
      <color rgb="FF000000"/>
      <name val="Calibri"/>
      <family val="2"/>
      <scheme val="minor"/>
    </font>
    <font>
      <b/>
      <i/>
      <sz val="9"/>
      <color indexed="8"/>
      <name val="Calibri"/>
      <family val="2"/>
      <scheme val="minor"/>
    </font>
    <font>
      <sz val="11"/>
      <color theme="1"/>
      <name val="Calibri"/>
      <family val="2"/>
      <scheme val="minor"/>
    </font>
    <font>
      <b/>
      <sz val="11"/>
      <color theme="1"/>
      <name val="Calibri"/>
      <family val="2"/>
      <scheme val="minor"/>
    </font>
    <font>
      <sz val="10"/>
      <color rgb="FF006100"/>
      <name val="Calibri"/>
      <family val="2"/>
      <scheme val="minor"/>
    </font>
    <font>
      <u/>
      <sz val="10"/>
      <color theme="10"/>
      <name val="Calibri"/>
      <family val="2"/>
      <scheme val="minor"/>
    </font>
    <font>
      <sz val="10"/>
      <color rgb="FF000000"/>
      <name val="Calibri"/>
      <family val="2"/>
      <scheme val="minor"/>
    </font>
    <font>
      <sz val="18"/>
      <color rgb="FF000000"/>
      <name val="Calibri"/>
      <family val="2"/>
      <scheme val="minor"/>
    </font>
    <font>
      <sz val="9"/>
      <color rgb="FFFF0000"/>
      <name val="Calibri"/>
      <family val="2"/>
      <scheme val="minor"/>
    </font>
    <font>
      <sz val="8"/>
      <color theme="1"/>
      <name val="Calibri"/>
      <family val="2"/>
      <scheme val="minor"/>
    </font>
    <font>
      <b/>
      <sz val="8"/>
      <color rgb="FF000000"/>
      <name val="Calibri"/>
      <family val="2"/>
      <scheme val="minor"/>
    </font>
    <font>
      <sz val="10"/>
      <name val="Arial Narrow"/>
      <family val="2"/>
    </font>
    <font>
      <b/>
      <sz val="12"/>
      <name val="Arial Narrow"/>
      <family val="2"/>
    </font>
    <font>
      <sz val="10"/>
      <name val="Arial"/>
      <family val="2"/>
    </font>
    <font>
      <b/>
      <sz val="10"/>
      <name val="Arial Narrow"/>
      <family val="2"/>
    </font>
    <font>
      <b/>
      <sz val="9"/>
      <name val="Verdana"/>
      <family val="2"/>
    </font>
    <font>
      <sz val="9"/>
      <color theme="1"/>
      <name val="Verdana"/>
      <family val="2"/>
    </font>
    <font>
      <b/>
      <sz val="9"/>
      <color rgb="FF000000"/>
      <name val="Verdana"/>
      <family val="2"/>
    </font>
    <font>
      <sz val="11"/>
      <name val="Calibri"/>
      <family val="2"/>
    </font>
    <font>
      <sz val="9"/>
      <name val="Verdana"/>
      <family val="2"/>
    </font>
    <font>
      <sz val="9"/>
      <color rgb="FF000000"/>
      <name val="Verdana"/>
      <family val="2"/>
    </font>
    <font>
      <sz val="10"/>
      <color theme="1"/>
      <name val="Arial Narrow"/>
      <family val="2"/>
    </font>
    <font>
      <sz val="10"/>
      <color rgb="FF000000"/>
      <name val="Arial Narrow"/>
      <family val="2"/>
    </font>
    <font>
      <b/>
      <sz val="10"/>
      <color indexed="8"/>
      <name val="Arial Narrow"/>
      <family val="2"/>
    </font>
    <font>
      <sz val="9"/>
      <color indexed="8"/>
      <name val="Calibri"/>
      <family val="2"/>
    </font>
    <font>
      <sz val="9"/>
      <color indexed="81"/>
      <name val="Tahoma"/>
      <family val="2"/>
    </font>
    <font>
      <b/>
      <sz val="9"/>
      <color indexed="81"/>
      <name val="Tahoma"/>
      <family val="2"/>
    </font>
    <font>
      <sz val="11"/>
      <color rgb="FF000000"/>
      <name val="Calibri"/>
      <family val="2"/>
      <scheme val="minor"/>
    </font>
    <font>
      <b/>
      <sz val="10"/>
      <color rgb="FFFF0000"/>
      <name val="Arial Narrow"/>
      <family val="2"/>
    </font>
    <font>
      <sz val="10"/>
      <color theme="1"/>
      <name val="Arial"/>
      <family val="2"/>
    </font>
    <font>
      <sz val="11"/>
      <name val="Arial"/>
      <family val="2"/>
    </font>
    <font>
      <sz val="10"/>
      <name val="Calibri"/>
      <family val="2"/>
    </font>
    <font>
      <sz val="10"/>
      <color rgb="FFFF0000"/>
      <name val="Arial Narrow"/>
      <family val="2"/>
    </font>
    <font>
      <sz val="10"/>
      <color rgb="FF000000"/>
      <name val="Arial"/>
      <family val="2"/>
    </font>
    <font>
      <sz val="10"/>
      <color theme="1"/>
      <name val="Calibri"/>
      <family val="2"/>
    </font>
    <font>
      <i/>
      <sz val="10"/>
      <name val="Arial Narrow"/>
      <family val="2"/>
    </font>
    <font>
      <sz val="10"/>
      <color rgb="FF000000"/>
      <name val="&quot;Arial&quot;"/>
    </font>
    <font>
      <b/>
      <sz val="11"/>
      <color indexed="8"/>
      <name val="Times New Roman"/>
      <family val="1"/>
    </font>
    <font>
      <b/>
      <sz val="10"/>
      <color theme="1"/>
      <name val="Arial"/>
      <family val="2"/>
    </font>
    <font>
      <b/>
      <sz val="11"/>
      <name val="Arial"/>
      <family val="2"/>
    </font>
    <font>
      <b/>
      <sz val="14"/>
      <color indexed="10"/>
      <name val="Arial"/>
      <family val="2"/>
    </font>
    <font>
      <b/>
      <sz val="14"/>
      <color rgb="FFFF0000"/>
      <name val="Arial"/>
      <family val="2"/>
    </font>
    <font>
      <b/>
      <sz val="14"/>
      <name val="Arial"/>
      <family val="2"/>
    </font>
    <font>
      <sz val="14"/>
      <name val="Arial"/>
      <family val="2"/>
    </font>
    <font>
      <b/>
      <sz val="14"/>
      <name val="Arial Narrow"/>
      <family val="2"/>
    </font>
    <font>
      <sz val="11"/>
      <color theme="1"/>
      <name val="Arial"/>
      <family val="2"/>
    </font>
    <font>
      <b/>
      <sz val="9"/>
      <name val="Arial Narrow"/>
      <family val="2"/>
    </font>
    <font>
      <b/>
      <sz val="8"/>
      <name val="Arial Narrow"/>
      <family val="2"/>
    </font>
    <font>
      <sz val="8"/>
      <name val="Arial Narrow"/>
      <family val="2"/>
    </font>
    <font>
      <sz val="9"/>
      <name val="Arial Narrow"/>
      <family val="2"/>
    </font>
    <font>
      <sz val="11"/>
      <name val="Calibri"/>
      <family val="2"/>
      <scheme val="minor"/>
    </font>
    <font>
      <sz val="10"/>
      <name val="Calibri"/>
      <family val="2"/>
      <scheme val="minor"/>
    </font>
    <font>
      <b/>
      <sz val="10"/>
      <color rgb="FFFF0000"/>
      <name val="Calibri"/>
      <family val="2"/>
      <scheme val="minor"/>
    </font>
    <font>
      <b/>
      <sz val="10"/>
      <color rgb="FF006100"/>
      <name val="Calibri"/>
      <family val="2"/>
      <scheme val="minor"/>
    </font>
    <font>
      <b/>
      <sz val="10"/>
      <name val="Calibri"/>
      <family val="2"/>
      <scheme val="minor"/>
    </font>
    <font>
      <b/>
      <sz val="9"/>
      <color theme="1"/>
      <name val="Calibri"/>
      <family val="2"/>
      <scheme val="minor"/>
    </font>
    <font>
      <b/>
      <sz val="10"/>
      <color theme="1"/>
      <name val="Calibri"/>
      <family val="2"/>
      <scheme val="minor"/>
    </font>
    <font>
      <sz val="11"/>
      <color rgb="FFFFFFFF"/>
      <name val="Arial"/>
      <family val="2"/>
    </font>
    <font>
      <sz val="8"/>
      <color theme="1"/>
      <name val="Arial Narrow"/>
      <family val="2"/>
    </font>
    <font>
      <b/>
      <sz val="10"/>
      <color theme="1"/>
      <name val="Arial Narrow"/>
      <family val="2"/>
    </font>
  </fonts>
  <fills count="63">
    <fill>
      <patternFill patternType="none"/>
    </fill>
    <fill>
      <patternFill patternType="gray125"/>
    </fill>
    <fill>
      <patternFill patternType="solid">
        <fgColor rgb="FFC6EFCE"/>
      </patternFill>
    </fill>
    <fill>
      <patternFill patternType="solid">
        <fgColor rgb="FFFFFF00"/>
        <bgColor indexed="64"/>
      </patternFill>
    </fill>
    <fill>
      <patternFill patternType="solid">
        <fgColor rgb="FFD9D9D9"/>
        <bgColor indexed="64"/>
      </patternFill>
    </fill>
    <fill>
      <patternFill patternType="solid">
        <fgColor rgb="FFF7CAAC"/>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249977111117893"/>
        <bgColor indexed="64"/>
      </patternFill>
    </fill>
    <fill>
      <patternFill patternType="solid">
        <fgColor indexed="41"/>
        <bgColor indexed="64"/>
      </patternFill>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13"/>
        <bgColor indexed="64"/>
      </patternFill>
    </fill>
    <fill>
      <patternFill patternType="solid">
        <fgColor indexed="45"/>
        <bgColor indexed="64"/>
      </patternFill>
    </fill>
    <fill>
      <patternFill patternType="solid">
        <fgColor indexed="14"/>
        <bgColor indexed="64"/>
      </patternFill>
    </fill>
    <fill>
      <patternFill patternType="solid">
        <fgColor rgb="FF92D050"/>
        <bgColor rgb="FF92D050"/>
      </patternFill>
    </fill>
    <fill>
      <patternFill patternType="solid">
        <fgColor rgb="FFE2EFD9"/>
        <bgColor rgb="FFE2EFD9"/>
      </patternFill>
    </fill>
    <fill>
      <patternFill patternType="solid">
        <fgColor indexed="11"/>
        <bgColor indexed="64"/>
      </patternFill>
    </fill>
    <fill>
      <patternFill patternType="solid">
        <fgColor rgb="FFFFFF00"/>
        <bgColor rgb="FF000000"/>
      </patternFill>
    </fill>
    <fill>
      <patternFill patternType="solid">
        <fgColor rgb="FF9BC2E6"/>
        <bgColor rgb="FF000000"/>
      </patternFill>
    </fill>
    <fill>
      <patternFill patternType="solid">
        <fgColor theme="4" tint="0.39997558519241921"/>
        <bgColor rgb="FF000000"/>
      </patternFill>
    </fill>
    <fill>
      <patternFill patternType="solid">
        <fgColor theme="2" tint="-0.499984740745262"/>
        <bgColor indexed="64"/>
      </patternFill>
    </fill>
    <fill>
      <patternFill patternType="solid">
        <fgColor rgb="FFFFC000"/>
        <bgColor indexed="64"/>
      </patternFill>
    </fill>
    <fill>
      <patternFill patternType="solid">
        <fgColor rgb="FF66FF66"/>
        <bgColor rgb="FFA8D08D"/>
      </patternFill>
    </fill>
    <fill>
      <patternFill patternType="solid">
        <fgColor rgb="FF66FF66"/>
        <bgColor indexed="64"/>
      </patternFill>
    </fill>
    <fill>
      <patternFill patternType="solid">
        <fgColor rgb="FF99FF99"/>
        <bgColor rgb="FFA8D08D"/>
      </patternFill>
    </fill>
    <fill>
      <patternFill patternType="solid">
        <fgColor rgb="FF99FF99"/>
        <bgColor indexed="64"/>
      </patternFill>
    </fill>
    <fill>
      <patternFill patternType="solid">
        <fgColor rgb="FFCCFFCC"/>
        <bgColor rgb="FFA8D08D"/>
      </patternFill>
    </fill>
    <fill>
      <patternFill patternType="solid">
        <fgColor rgb="FFCCFFCC"/>
        <bgColor indexed="64"/>
      </patternFill>
    </fill>
    <fill>
      <patternFill patternType="solid">
        <fgColor rgb="FFFF0000"/>
        <bgColor indexed="64"/>
      </patternFill>
    </fill>
    <fill>
      <patternFill patternType="solid">
        <fgColor theme="0"/>
        <bgColor rgb="FFF5E3EB"/>
      </patternFill>
    </fill>
    <fill>
      <patternFill patternType="solid">
        <fgColor theme="0"/>
        <bgColor rgb="FFE0FACD"/>
      </patternFill>
    </fill>
    <fill>
      <patternFill patternType="solid">
        <fgColor theme="0"/>
        <bgColor rgb="FFCCF1B0"/>
      </patternFill>
    </fill>
    <fill>
      <patternFill patternType="solid">
        <fgColor theme="0"/>
        <bgColor rgb="FFEDFFE0"/>
      </patternFill>
    </fill>
    <fill>
      <patternFill patternType="solid">
        <fgColor theme="0"/>
        <bgColor rgb="FFFFD966"/>
      </patternFill>
    </fill>
    <fill>
      <patternFill patternType="solid">
        <fgColor theme="0"/>
        <bgColor rgb="FFFFF2CC"/>
      </patternFill>
    </fill>
    <fill>
      <patternFill patternType="solid">
        <fgColor theme="0"/>
        <bgColor rgb="FFFFE599"/>
      </patternFill>
    </fill>
    <fill>
      <patternFill patternType="solid">
        <fgColor theme="0"/>
        <bgColor rgb="FFF191E4"/>
      </patternFill>
    </fill>
    <fill>
      <patternFill patternType="solid">
        <fgColor theme="0"/>
        <bgColor rgb="FFFAC7F3"/>
      </patternFill>
    </fill>
    <fill>
      <patternFill patternType="solid">
        <fgColor theme="0"/>
        <bgColor rgb="FFD9E6FC"/>
      </patternFill>
    </fill>
    <fill>
      <patternFill patternType="solid">
        <fgColor theme="0"/>
        <bgColor rgb="FFB3CEFA"/>
      </patternFill>
    </fill>
    <fill>
      <patternFill patternType="solid">
        <fgColor theme="0"/>
        <bgColor rgb="FFA8D08D"/>
      </patternFill>
    </fill>
    <fill>
      <patternFill patternType="solid">
        <fgColor rgb="FFE1FFE1"/>
        <bgColor indexed="64"/>
      </patternFill>
    </fill>
    <fill>
      <patternFill patternType="solid">
        <fgColor theme="9" tint="0.39997558519241921"/>
        <bgColor rgb="FFA8D08D"/>
      </patternFill>
    </fill>
    <fill>
      <patternFill patternType="solid">
        <fgColor theme="9" tint="0.39997558519241921"/>
        <bgColor rgb="FFE2EFD9"/>
      </patternFill>
    </fill>
    <fill>
      <patternFill patternType="solid">
        <fgColor theme="9" tint="0.39997558519241921"/>
        <bgColor indexed="64"/>
      </patternFill>
    </fill>
    <fill>
      <patternFill patternType="solid">
        <fgColor theme="9" tint="0.59999389629810485"/>
        <bgColor rgb="FFA8D08D"/>
      </patternFill>
    </fill>
    <fill>
      <patternFill patternType="solid">
        <fgColor theme="9" tint="0.59999389629810485"/>
        <bgColor indexed="64"/>
      </patternFill>
    </fill>
    <fill>
      <patternFill patternType="solid">
        <fgColor theme="9" tint="0.59999389629810485"/>
        <bgColor rgb="FFE2EFD9"/>
      </patternFill>
    </fill>
    <fill>
      <patternFill patternType="solid">
        <fgColor theme="9" tint="0.79998168889431442"/>
        <bgColor rgb="FFC5E0B3"/>
      </patternFill>
    </fill>
    <fill>
      <patternFill patternType="solid">
        <fgColor theme="9" tint="0.79998168889431442"/>
        <bgColor rgb="FFA8D08D"/>
      </patternFill>
    </fill>
    <fill>
      <patternFill patternType="solid">
        <fgColor theme="9" tint="0.79998168889431442"/>
        <bgColor rgb="FFE2EFD9"/>
      </patternFill>
    </fill>
    <fill>
      <patternFill patternType="solid">
        <fgColor theme="9" tint="0.79998168889431442"/>
        <bgColor indexed="64"/>
      </patternFill>
    </fill>
    <fill>
      <patternFill patternType="solid">
        <fgColor theme="0"/>
        <bgColor rgb="FFE2EFD9"/>
      </patternFill>
    </fill>
    <fill>
      <patternFill patternType="solid">
        <fgColor theme="0"/>
        <bgColor rgb="FFC5E0B3"/>
      </patternFill>
    </fill>
    <fill>
      <patternFill patternType="solid">
        <fgColor theme="9"/>
        <bgColor indexed="64"/>
      </patternFill>
    </fill>
    <fill>
      <patternFill patternType="solid">
        <fgColor rgb="FF92D050"/>
        <bgColor indexed="64"/>
      </patternFill>
    </fill>
    <fill>
      <patternFill patternType="solid">
        <fgColor rgb="FFFFFF00"/>
        <bgColor rgb="FFFFFFFF"/>
      </patternFill>
    </fill>
    <fill>
      <patternFill patternType="solid">
        <fgColor rgb="FFFFFF00"/>
        <bgColor rgb="FF99FFCC"/>
      </patternFill>
    </fill>
  </fills>
  <borders count="93">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double">
        <color rgb="FFFF8001"/>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style="double">
        <color rgb="FF000000"/>
      </top>
      <bottom/>
      <diagonal/>
    </border>
    <border>
      <left style="double">
        <color rgb="FF000000"/>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medium">
        <color indexed="8"/>
      </left>
      <right style="medium">
        <color indexed="8"/>
      </right>
      <top style="medium">
        <color indexed="8"/>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medium">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medium">
        <color indexed="64"/>
      </right>
      <top/>
      <bottom style="thin">
        <color rgb="FF000000"/>
      </bottom>
      <diagonal/>
    </border>
    <border>
      <left/>
      <right/>
      <top/>
      <bottom style="thin">
        <color rgb="FF000000"/>
      </bottom>
      <diagonal/>
    </border>
    <border>
      <left style="medium">
        <color indexed="64"/>
      </left>
      <right style="medium">
        <color indexed="64"/>
      </right>
      <top/>
      <bottom style="thin">
        <color rgb="FF000000"/>
      </bottom>
      <diagonal/>
    </border>
    <border>
      <left/>
      <right style="medium">
        <color indexed="64"/>
      </right>
      <top style="thin">
        <color rgb="FF000000"/>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rgb="FF000000"/>
      </bottom>
      <diagonal/>
    </border>
    <border>
      <left style="medium">
        <color indexed="64"/>
      </left>
      <right style="thin">
        <color rgb="FF000000"/>
      </right>
      <top style="thin">
        <color rgb="FF000000"/>
      </top>
      <bottom style="thin">
        <color indexed="64"/>
      </bottom>
      <diagonal/>
    </border>
    <border>
      <left/>
      <right style="medium">
        <color indexed="64"/>
      </right>
      <top style="thin">
        <color rgb="FF000000"/>
      </top>
      <bottom style="medium">
        <color indexed="64"/>
      </bottom>
      <diagonal/>
    </border>
    <border>
      <left style="medium">
        <color indexed="64"/>
      </left>
      <right style="medium">
        <color indexed="64"/>
      </right>
      <top style="thin">
        <color rgb="FF000000"/>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thin">
        <color rgb="FF000000"/>
      </left>
      <right style="thin">
        <color rgb="FF000000"/>
      </right>
      <top style="medium">
        <color rgb="FF000000"/>
      </top>
      <bottom style="thin">
        <color rgb="FF000000"/>
      </bottom>
      <diagonal/>
    </border>
  </borders>
  <cellStyleXfs count="8">
    <xf numFmtId="0" fontId="0" fillId="0" borderId="0"/>
    <xf numFmtId="0" fontId="1" fillId="2" borderId="0" applyNumberFormat="0" applyBorder="0" applyAlignment="0" applyProtection="0"/>
    <xf numFmtId="0" fontId="17" fillId="0" borderId="0" applyNumberFormat="0" applyFill="0" applyBorder="0" applyAlignment="0" applyProtection="0"/>
    <xf numFmtId="9" fontId="21" fillId="0" borderId="0" applyFont="0" applyFill="0" applyBorder="0" applyAlignment="0" applyProtection="0"/>
    <xf numFmtId="43" fontId="21" fillId="0" borderId="0" applyFont="0" applyFill="0" applyBorder="0" applyAlignment="0" applyProtection="0"/>
    <xf numFmtId="0" fontId="32" fillId="0" borderId="0"/>
    <xf numFmtId="43" fontId="21" fillId="0" borderId="0" applyFont="0" applyFill="0" applyBorder="0" applyAlignment="0" applyProtection="0"/>
    <xf numFmtId="44" fontId="21" fillId="0" borderId="0" applyFont="0" applyFill="0" applyBorder="0" applyAlignment="0" applyProtection="0"/>
  </cellStyleXfs>
  <cellXfs count="1659">
    <xf numFmtId="0" fontId="0" fillId="0" borderId="0" xfId="0"/>
    <xf numFmtId="0" fontId="0" fillId="0" borderId="0" xfId="0" applyAlignment="1"/>
    <xf numFmtId="0" fontId="4" fillId="0" borderId="0" xfId="0" applyFont="1" applyAlignment="1">
      <alignment vertical="top"/>
    </xf>
    <xf numFmtId="0" fontId="4" fillId="0" borderId="8" xfId="0" applyFont="1" applyBorder="1" applyAlignment="1">
      <alignment horizontal="center" vertical="top" wrapText="1"/>
    </xf>
    <xf numFmtId="0" fontId="3" fillId="0" borderId="0" xfId="0" applyFont="1" applyAlignment="1">
      <alignment vertical="top"/>
    </xf>
    <xf numFmtId="0" fontId="3" fillId="0" borderId="12" xfId="0" applyFont="1" applyBorder="1" applyAlignment="1">
      <alignment vertical="top" wrapText="1"/>
    </xf>
    <xf numFmtId="0" fontId="0" fillId="0" borderId="0" xfId="0" applyAlignment="1">
      <alignment vertical="top"/>
    </xf>
    <xf numFmtId="0" fontId="4" fillId="3" borderId="7" xfId="0" applyFont="1" applyFill="1" applyBorder="1" applyAlignment="1" applyProtection="1">
      <alignment horizontal="center" vertical="top" wrapText="1"/>
      <protection locked="0"/>
    </xf>
    <xf numFmtId="0" fontId="4" fillId="0" borderId="0" xfId="0" applyFont="1" applyAlignment="1" applyProtection="1">
      <alignment vertical="top"/>
      <protection locked="0"/>
    </xf>
    <xf numFmtId="0" fontId="4" fillId="0" borderId="8" xfId="0" applyFont="1" applyBorder="1" applyAlignment="1" applyProtection="1">
      <alignment horizontal="center" vertical="top" wrapText="1"/>
      <protection locked="0"/>
    </xf>
    <xf numFmtId="0" fontId="3" fillId="0" borderId="0" xfId="0" applyFont="1" applyAlignment="1" applyProtection="1">
      <alignment vertical="top"/>
      <protection locked="0"/>
    </xf>
    <xf numFmtId="0" fontId="0" fillId="0" borderId="8" xfId="0" applyBorder="1"/>
    <xf numFmtId="0" fontId="0" fillId="0" borderId="5" xfId="0" applyBorder="1"/>
    <xf numFmtId="0" fontId="0" fillId="0" borderId="13" xfId="0" applyBorder="1"/>
    <xf numFmtId="0" fontId="0" fillId="0" borderId="6" xfId="0" applyBorder="1"/>
    <xf numFmtId="0" fontId="0" fillId="0" borderId="11" xfId="0" applyBorder="1"/>
    <xf numFmtId="0" fontId="4" fillId="0" borderId="8" xfId="0" applyFont="1" applyBorder="1" applyAlignment="1">
      <alignment horizontal="left" vertical="center" wrapText="1"/>
    </xf>
    <xf numFmtId="0" fontId="0" fillId="0" borderId="6" xfId="0" applyBorder="1" applyAlignment="1">
      <alignment vertical="top" wrapText="1"/>
    </xf>
    <xf numFmtId="0" fontId="0" fillId="7" borderId="16" xfId="0" applyFill="1" applyBorder="1" applyAlignment="1">
      <alignment vertical="top"/>
    </xf>
    <xf numFmtId="0" fontId="0" fillId="0" borderId="0" xfId="0" applyAlignment="1" applyProtection="1">
      <alignment vertical="top"/>
      <protection locked="0"/>
    </xf>
    <xf numFmtId="0" fontId="0" fillId="0" borderId="6" xfId="0" applyBorder="1" applyAlignment="1" applyProtection="1">
      <alignment vertical="top"/>
      <protection locked="0"/>
    </xf>
    <xf numFmtId="0" fontId="4" fillId="0" borderId="7" xfId="0" applyFont="1" applyBorder="1" applyAlignment="1" applyProtection="1">
      <alignment horizontal="center" vertical="top" wrapText="1"/>
      <protection locked="0"/>
    </xf>
    <xf numFmtId="0" fontId="0" fillId="0" borderId="6" xfId="0" applyBorder="1" applyAlignment="1">
      <alignment vertical="top"/>
    </xf>
    <xf numFmtId="0" fontId="0" fillId="0" borderId="11" xfId="0" applyBorder="1" applyAlignment="1">
      <alignment vertical="top"/>
    </xf>
    <xf numFmtId="0" fontId="0" fillId="0" borderId="8" xfId="0" applyBorder="1" applyAlignment="1">
      <alignment vertical="top"/>
    </xf>
    <xf numFmtId="0" fontId="14" fillId="0" borderId="7" xfId="0" applyFont="1" applyBorder="1" applyAlignment="1">
      <alignment vertical="top"/>
    </xf>
    <xf numFmtId="0" fontId="9" fillId="0" borderId="6" xfId="0" applyFont="1" applyBorder="1" applyAlignment="1">
      <alignment vertical="top" wrapText="1"/>
    </xf>
    <xf numFmtId="0" fontId="14" fillId="0" borderId="8" xfId="0" applyFont="1" applyBorder="1" applyAlignment="1">
      <alignment vertical="top"/>
    </xf>
    <xf numFmtId="0" fontId="5" fillId="0" borderId="0" xfId="0" applyFont="1" applyBorder="1" applyAlignment="1">
      <alignment vertical="top"/>
    </xf>
    <xf numFmtId="0" fontId="7" fillId="0" borderId="0" xfId="0" applyFont="1" applyAlignment="1" applyProtection="1">
      <alignment vertical="top"/>
      <protection locked="0"/>
    </xf>
    <xf numFmtId="0" fontId="4" fillId="3" borderId="8" xfId="0" applyFont="1" applyFill="1" applyBorder="1" applyAlignment="1" applyProtection="1">
      <alignment vertical="top" wrapText="1"/>
      <protection locked="0"/>
    </xf>
    <xf numFmtId="0" fontId="4" fillId="3" borderId="8" xfId="0" applyFont="1" applyFill="1" applyBorder="1" applyAlignment="1" applyProtection="1">
      <alignment vertical="top"/>
      <protection locked="0"/>
    </xf>
    <xf numFmtId="9" fontId="4" fillId="3" borderId="8" xfId="0" applyNumberFormat="1" applyFont="1" applyFill="1" applyBorder="1" applyAlignment="1" applyProtection="1">
      <alignment vertical="top"/>
      <protection locked="0"/>
    </xf>
    <xf numFmtId="9" fontId="4" fillId="0" borderId="8" xfId="0" applyNumberFormat="1" applyFont="1" applyFill="1" applyBorder="1" applyAlignment="1" applyProtection="1">
      <alignment vertical="top"/>
      <protection locked="0"/>
    </xf>
    <xf numFmtId="0" fontId="5" fillId="0" borderId="8" xfId="0" applyFont="1" applyBorder="1" applyAlignment="1" applyProtection="1">
      <alignment vertical="top" wrapText="1"/>
      <protection locked="0"/>
    </xf>
    <xf numFmtId="17" fontId="4" fillId="0" borderId="13" xfId="0" applyNumberFormat="1" applyFont="1" applyBorder="1" applyAlignment="1" applyProtection="1">
      <alignment vertical="top" wrapText="1"/>
      <protection locked="0"/>
    </xf>
    <xf numFmtId="0" fontId="4" fillId="0" borderId="12" xfId="0" applyFont="1" applyBorder="1" applyAlignment="1" applyProtection="1">
      <alignment vertical="top" wrapText="1"/>
      <protection locked="0"/>
    </xf>
    <xf numFmtId="0" fontId="7" fillId="0" borderId="0" xfId="0" applyFont="1" applyAlignment="1">
      <alignment vertical="top"/>
    </xf>
    <xf numFmtId="0" fontId="4" fillId="0" borderId="7" xfId="0" applyFont="1" applyBorder="1" applyAlignment="1">
      <alignment vertical="top"/>
    </xf>
    <xf numFmtId="0" fontId="4" fillId="0" borderId="8" xfId="0" applyFont="1" applyBorder="1" applyAlignment="1">
      <alignment vertical="top"/>
    </xf>
    <xf numFmtId="0" fontId="4" fillId="0" borderId="8" xfId="0" applyFont="1" applyBorder="1" applyAlignment="1">
      <alignment vertical="top" wrapText="1"/>
    </xf>
    <xf numFmtId="0" fontId="4" fillId="3" borderId="8" xfId="0" applyFont="1" applyFill="1" applyBorder="1" applyAlignment="1">
      <alignment vertical="top"/>
    </xf>
    <xf numFmtId="0" fontId="4" fillId="4" borderId="8" xfId="0" applyFont="1" applyFill="1" applyBorder="1" applyAlignment="1">
      <alignment vertical="top"/>
    </xf>
    <xf numFmtId="0" fontId="4" fillId="0" borderId="7" xfId="0" applyFont="1" applyBorder="1" applyAlignment="1">
      <alignment vertical="top" wrapText="1"/>
    </xf>
    <xf numFmtId="0" fontId="4" fillId="3" borderId="8" xfId="0" applyFont="1" applyFill="1" applyBorder="1" applyAlignment="1">
      <alignment vertical="top" wrapText="1"/>
    </xf>
    <xf numFmtId="0" fontId="4" fillId="0" borderId="13" xfId="0" applyFont="1" applyBorder="1" applyAlignment="1">
      <alignment vertical="top"/>
    </xf>
    <xf numFmtId="0" fontId="4" fillId="0" borderId="6" xfId="0" applyFont="1" applyBorder="1" applyAlignment="1">
      <alignment vertical="top" wrapText="1"/>
    </xf>
    <xf numFmtId="0" fontId="4" fillId="0" borderId="13" xfId="0" applyFont="1" applyBorder="1" applyAlignment="1">
      <alignment vertical="top" wrapText="1"/>
    </xf>
    <xf numFmtId="0" fontId="5" fillId="0" borderId="8" xfId="0" applyFont="1" applyBorder="1" applyAlignment="1">
      <alignment vertical="top" wrapText="1"/>
    </xf>
    <xf numFmtId="17" fontId="4" fillId="0" borderId="13" xfId="0" applyNumberFormat="1" applyFont="1" applyBorder="1" applyAlignment="1">
      <alignment vertical="top" wrapText="1"/>
    </xf>
    <xf numFmtId="0" fontId="6" fillId="0" borderId="8" xfId="0" applyFont="1" applyBorder="1" applyAlignment="1">
      <alignment vertical="top" wrapText="1"/>
    </xf>
    <xf numFmtId="0" fontId="12" fillId="0" borderId="12" xfId="0" applyFont="1" applyBorder="1" applyAlignment="1">
      <alignment vertical="top" wrapText="1"/>
    </xf>
    <xf numFmtId="0" fontId="4" fillId="0" borderId="12" xfId="0" applyFont="1" applyBorder="1" applyAlignment="1">
      <alignment vertical="top" wrapText="1"/>
    </xf>
    <xf numFmtId="0" fontId="3" fillId="0" borderId="6" xfId="0" applyFont="1" applyBorder="1" applyAlignment="1">
      <alignment vertical="top" wrapText="1"/>
    </xf>
    <xf numFmtId="0" fontId="15" fillId="0" borderId="6" xfId="0" applyFont="1" applyBorder="1" applyAlignment="1">
      <alignment vertical="top" wrapText="1"/>
    </xf>
    <xf numFmtId="0" fontId="17" fillId="0" borderId="6" xfId="2" applyBorder="1" applyAlignment="1">
      <alignment vertical="top" wrapText="1"/>
    </xf>
    <xf numFmtId="0" fontId="17" fillId="0" borderId="8" xfId="2" applyBorder="1" applyAlignment="1">
      <alignment vertical="top" wrapText="1"/>
    </xf>
    <xf numFmtId="0" fontId="12" fillId="0" borderId="6" xfId="0" applyFont="1" applyBorder="1" applyAlignment="1">
      <alignment vertical="top" wrapText="1"/>
    </xf>
    <xf numFmtId="0" fontId="6" fillId="0" borderId="6" xfId="0" applyFont="1" applyBorder="1" applyAlignment="1">
      <alignment vertical="top" wrapText="1"/>
    </xf>
    <xf numFmtId="0" fontId="7" fillId="0" borderId="0" xfId="0" applyFont="1" applyAlignment="1">
      <alignment vertical="top" wrapText="1"/>
    </xf>
    <xf numFmtId="0" fontId="19" fillId="0" borderId="13" xfId="0" applyFont="1" applyBorder="1" applyAlignment="1">
      <alignment vertical="top" wrapText="1"/>
    </xf>
    <xf numFmtId="0" fontId="16" fillId="0" borderId="6" xfId="0" applyFont="1" applyBorder="1" applyAlignment="1">
      <alignment vertical="top" wrapText="1"/>
    </xf>
    <xf numFmtId="0" fontId="16" fillId="0" borderId="8" xfId="0" applyFont="1" applyBorder="1" applyAlignment="1">
      <alignment vertical="top" wrapText="1"/>
    </xf>
    <xf numFmtId="0" fontId="4" fillId="0" borderId="4" xfId="0" applyFont="1" applyBorder="1" applyAlignment="1">
      <alignment vertical="top" wrapText="1"/>
    </xf>
    <xf numFmtId="0" fontId="3" fillId="0" borderId="4" xfId="0" applyFont="1" applyBorder="1" applyAlignment="1">
      <alignment vertical="top" wrapText="1"/>
    </xf>
    <xf numFmtId="0" fontId="8" fillId="0" borderId="8" xfId="0" applyFont="1" applyBorder="1" applyAlignment="1">
      <alignment vertical="top" wrapText="1"/>
    </xf>
    <xf numFmtId="0" fontId="8" fillId="0" borderId="7" xfId="0" applyFont="1" applyBorder="1" applyAlignment="1">
      <alignment vertical="top" wrapText="1"/>
    </xf>
    <xf numFmtId="0" fontId="3" fillId="0" borderId="7" xfId="0" applyFont="1" applyBorder="1" applyAlignment="1">
      <alignment vertical="top"/>
    </xf>
    <xf numFmtId="0" fontId="3" fillId="0" borderId="8" xfId="0" applyFont="1" applyBorder="1" applyAlignment="1">
      <alignment vertical="top" wrapText="1"/>
    </xf>
    <xf numFmtId="0" fontId="8" fillId="0" borderId="6" xfId="0" applyFont="1" applyBorder="1" applyAlignment="1">
      <alignment vertical="top" wrapText="1"/>
    </xf>
    <xf numFmtId="0" fontId="15" fillId="0" borderId="8" xfId="0" applyFont="1" applyBorder="1" applyAlignment="1">
      <alignment vertical="top" wrapText="1"/>
    </xf>
    <xf numFmtId="0" fontId="8" fillId="0" borderId="13" xfId="0" applyFont="1" applyBorder="1" applyAlignment="1">
      <alignment vertical="top" wrapText="1"/>
    </xf>
    <xf numFmtId="0" fontId="8" fillId="0" borderId="4" xfId="0" applyFont="1" applyBorder="1" applyAlignment="1">
      <alignment vertical="top" wrapText="1"/>
    </xf>
    <xf numFmtId="0" fontId="0" fillId="3" borderId="16" xfId="0" applyFill="1" applyBorder="1" applyAlignment="1">
      <alignment vertical="top"/>
    </xf>
    <xf numFmtId="0" fontId="20" fillId="0" borderId="0" xfId="0" applyFont="1" applyBorder="1" applyAlignment="1">
      <alignment vertical="top"/>
    </xf>
    <xf numFmtId="0" fontId="4" fillId="0" borderId="0" xfId="0" applyFont="1" applyAlignment="1">
      <alignment horizontal="center" vertical="top"/>
    </xf>
    <xf numFmtId="0" fontId="6" fillId="0" borderId="0" xfId="0" applyFont="1" applyBorder="1" applyAlignment="1">
      <alignment horizontal="center" vertical="top" wrapText="1"/>
    </xf>
    <xf numFmtId="0" fontId="7" fillId="0" borderId="0" xfId="0" applyFont="1" applyAlignment="1" applyProtection="1">
      <alignment horizontal="center" vertical="top"/>
      <protection locked="0"/>
    </xf>
    <xf numFmtId="0" fontId="4" fillId="0" borderId="13" xfId="0" applyFont="1" applyBorder="1" applyAlignment="1" applyProtection="1">
      <alignment horizontal="center" vertical="top" wrapText="1"/>
      <protection locked="0"/>
    </xf>
    <xf numFmtId="0" fontId="0" fillId="0" borderId="0" xfId="0" applyAlignment="1" applyProtection="1">
      <alignment horizontal="center" vertical="top"/>
      <protection locked="0"/>
    </xf>
    <xf numFmtId="0" fontId="4" fillId="0" borderId="0" xfId="0" applyFont="1" applyAlignment="1" applyProtection="1">
      <alignment horizontal="center" vertical="top"/>
      <protection locked="0"/>
    </xf>
    <xf numFmtId="0" fontId="4" fillId="0" borderId="6" xfId="0" applyFont="1" applyBorder="1" applyAlignment="1" applyProtection="1">
      <alignment horizontal="center" vertical="top" wrapText="1"/>
      <protection locked="0"/>
    </xf>
    <xf numFmtId="0" fontId="3" fillId="0" borderId="0" xfId="0" applyFont="1" applyAlignment="1" applyProtection="1">
      <alignment horizontal="center" vertical="top"/>
      <protection locked="0"/>
    </xf>
    <xf numFmtId="0" fontId="3" fillId="0" borderId="0" xfId="0" applyFont="1" applyBorder="1" applyAlignment="1" applyProtection="1">
      <alignment horizontal="center" vertical="top" wrapText="1"/>
      <protection locked="0"/>
    </xf>
    <xf numFmtId="0" fontId="12" fillId="0" borderId="0" xfId="0" applyFont="1" applyBorder="1" applyAlignment="1" applyProtection="1">
      <alignment horizontal="center" vertical="top" wrapText="1"/>
      <protection locked="0"/>
    </xf>
    <xf numFmtId="0" fontId="4" fillId="0" borderId="10" xfId="0" applyFont="1" applyBorder="1" applyAlignment="1" applyProtection="1">
      <alignment horizontal="center" vertical="top" wrapText="1"/>
      <protection locked="0"/>
    </xf>
    <xf numFmtId="0" fontId="0" fillId="0" borderId="0" xfId="0" applyAlignment="1">
      <alignment horizontal="center" vertical="top"/>
    </xf>
    <xf numFmtId="0" fontId="7" fillId="0" borderId="0" xfId="0" applyFont="1" applyAlignment="1">
      <alignment horizontal="center" vertical="top"/>
    </xf>
    <xf numFmtId="0" fontId="4" fillId="0" borderId="2" xfId="0" applyFont="1" applyBorder="1" applyAlignment="1">
      <alignment horizontal="center" vertical="top" wrapText="1"/>
    </xf>
    <xf numFmtId="0" fontId="4" fillId="0" borderId="7" xfId="0" applyFont="1" applyBorder="1" applyAlignment="1">
      <alignment horizontal="center" vertical="top"/>
    </xf>
    <xf numFmtId="0" fontId="4" fillId="0" borderId="8" xfId="0" applyFont="1" applyBorder="1" applyAlignment="1">
      <alignment horizontal="center" vertical="top"/>
    </xf>
    <xf numFmtId="0" fontId="4" fillId="0" borderId="9" xfId="0" applyFont="1" applyBorder="1" applyAlignment="1">
      <alignment horizontal="center" vertical="top" wrapText="1"/>
    </xf>
    <xf numFmtId="0" fontId="4" fillId="0" borderId="10" xfId="0" applyFont="1" applyBorder="1" applyAlignment="1">
      <alignment horizontal="center" vertical="top" wrapText="1"/>
    </xf>
    <xf numFmtId="0" fontId="4" fillId="0" borderId="6" xfId="0" applyFont="1" applyBorder="1" applyAlignment="1">
      <alignment horizontal="center" vertical="top" wrapText="1"/>
    </xf>
    <xf numFmtId="0" fontId="3" fillId="0" borderId="0" xfId="0" applyFont="1" applyAlignment="1">
      <alignment horizontal="center" vertical="top"/>
    </xf>
    <xf numFmtId="0" fontId="3" fillId="0" borderId="0" xfId="0" applyFont="1" applyBorder="1" applyAlignment="1">
      <alignment horizontal="center" vertical="top" wrapText="1"/>
    </xf>
    <xf numFmtId="0" fontId="12" fillId="0" borderId="0" xfId="0" applyFont="1" applyBorder="1" applyAlignment="1">
      <alignment horizontal="center" vertical="top" wrapText="1"/>
    </xf>
    <xf numFmtId="0" fontId="4" fillId="0" borderId="7" xfId="0" applyFont="1" applyBorder="1" applyAlignment="1">
      <alignment horizontal="center" vertical="top" wrapText="1"/>
    </xf>
    <xf numFmtId="0" fontId="4" fillId="0" borderId="1" xfId="0" applyFont="1" applyBorder="1" applyAlignment="1">
      <alignment horizontal="center" vertical="top" wrapText="1"/>
    </xf>
    <xf numFmtId="0" fontId="4" fillId="0" borderId="13" xfId="0" applyFont="1" applyBorder="1" applyAlignment="1">
      <alignment horizontal="center" vertical="top" wrapText="1"/>
    </xf>
    <xf numFmtId="0" fontId="4" fillId="0" borderId="0" xfId="0" applyFont="1" applyBorder="1" applyAlignment="1">
      <alignment horizontal="center" vertical="top" wrapText="1"/>
    </xf>
    <xf numFmtId="0" fontId="8" fillId="0" borderId="2" xfId="0" applyFont="1" applyBorder="1" applyAlignment="1">
      <alignment horizontal="center" vertical="top" wrapText="1"/>
    </xf>
    <xf numFmtId="0" fontId="8" fillId="0" borderId="9" xfId="0" applyFont="1" applyBorder="1" applyAlignment="1">
      <alignment horizontal="center" vertical="top" wrapText="1"/>
    </xf>
    <xf numFmtId="0" fontId="19" fillId="0" borderId="10" xfId="0" applyFont="1" applyBorder="1" applyAlignment="1">
      <alignment horizontal="center" vertical="top" wrapText="1"/>
    </xf>
    <xf numFmtId="0" fontId="4" fillId="0" borderId="4" xfId="0" applyFont="1" applyBorder="1" applyAlignment="1">
      <alignment horizontal="center" vertical="top" wrapText="1"/>
    </xf>
    <xf numFmtId="0" fontId="3" fillId="0" borderId="8" xfId="0" applyFont="1" applyBorder="1" applyAlignment="1">
      <alignment horizontal="center" vertical="top" wrapText="1"/>
    </xf>
    <xf numFmtId="0" fontId="4" fillId="0" borderId="0" xfId="0" applyFont="1" applyBorder="1" applyAlignment="1">
      <alignment horizontal="center" vertical="top"/>
    </xf>
    <xf numFmtId="0" fontId="8" fillId="0" borderId="10" xfId="0" applyFont="1" applyBorder="1" applyAlignment="1">
      <alignment horizontal="center" vertical="top" wrapText="1"/>
    </xf>
    <xf numFmtId="0" fontId="8" fillId="0" borderId="6" xfId="0" applyFont="1" applyBorder="1" applyAlignment="1">
      <alignment horizontal="center" vertical="top" wrapText="1"/>
    </xf>
    <xf numFmtId="0" fontId="14" fillId="0" borderId="8" xfId="0" applyFont="1" applyBorder="1" applyAlignment="1">
      <alignment horizontal="center" vertical="top"/>
    </xf>
    <xf numFmtId="0" fontId="4" fillId="0" borderId="8" xfId="0" applyFont="1" applyFill="1" applyBorder="1" applyAlignment="1">
      <alignment vertical="top" wrapText="1"/>
    </xf>
    <xf numFmtId="0" fontId="0" fillId="0" borderId="1" xfId="0"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0" fillId="0" borderId="1" xfId="0" applyBorder="1" applyAlignment="1">
      <alignment vertical="top"/>
    </xf>
    <xf numFmtId="0" fontId="0" fillId="0" borderId="5" xfId="0" applyBorder="1" applyAlignment="1">
      <alignment vertical="top"/>
    </xf>
    <xf numFmtId="0" fontId="0" fillId="0" borderId="13" xfId="0" applyBorder="1" applyAlignment="1">
      <alignment vertical="top"/>
    </xf>
    <xf numFmtId="0" fontId="0" fillId="0" borderId="1" xfId="0" applyBorder="1"/>
    <xf numFmtId="0" fontId="4" fillId="4" borderId="13" xfId="0" applyFont="1" applyFill="1" applyBorder="1" applyAlignment="1">
      <alignment horizontal="left" vertical="center" wrapText="1"/>
    </xf>
    <xf numFmtId="0" fontId="12" fillId="0" borderId="14" xfId="0" applyFont="1" applyBorder="1" applyAlignment="1">
      <alignment vertical="top"/>
    </xf>
    <xf numFmtId="0" fontId="12" fillId="0" borderId="15" xfId="0" applyFont="1" applyBorder="1" applyAlignment="1">
      <alignment vertical="top"/>
    </xf>
    <xf numFmtId="0" fontId="12" fillId="0" borderId="7" xfId="0" applyFont="1" applyBorder="1" applyAlignment="1">
      <alignment vertical="top"/>
    </xf>
    <xf numFmtId="0" fontId="4" fillId="0" borderId="7" xfId="0" applyFont="1" applyBorder="1" applyAlignment="1">
      <alignment vertical="top" wrapText="1"/>
    </xf>
    <xf numFmtId="0" fontId="12" fillId="0" borderId="14" xfId="0" applyFont="1" applyBorder="1" applyAlignment="1">
      <alignment vertical="top" wrapText="1"/>
    </xf>
    <xf numFmtId="0" fontId="12" fillId="0" borderId="15" xfId="0" applyFont="1" applyBorder="1" applyAlignment="1">
      <alignment vertical="top" wrapText="1"/>
    </xf>
    <xf numFmtId="0" fontId="12" fillId="0" borderId="7" xfId="0" applyFont="1" applyBorder="1" applyAlignment="1">
      <alignment vertical="top" wrapText="1"/>
    </xf>
    <xf numFmtId="0" fontId="4" fillId="0" borderId="11" xfId="0" applyFont="1" applyBorder="1" applyAlignment="1">
      <alignment vertical="top" wrapText="1"/>
    </xf>
    <xf numFmtId="0" fontId="4" fillId="0" borderId="8" xfId="0" applyFont="1" applyBorder="1" applyAlignment="1">
      <alignment vertical="top" wrapText="1"/>
    </xf>
    <xf numFmtId="0" fontId="4" fillId="0" borderId="8" xfId="0" applyFont="1" applyBorder="1" applyAlignment="1">
      <alignment horizontal="center" vertical="top" wrapText="1"/>
    </xf>
    <xf numFmtId="0" fontId="4" fillId="0" borderId="0" xfId="0" applyFont="1" applyBorder="1" applyAlignment="1">
      <alignment horizontal="center" vertical="top" wrapText="1"/>
    </xf>
    <xf numFmtId="0" fontId="4" fillId="0" borderId="14" xfId="0" applyFont="1" applyBorder="1" applyAlignment="1">
      <alignment vertical="top"/>
    </xf>
    <xf numFmtId="0" fontId="4" fillId="0" borderId="15" xfId="0" applyFont="1" applyBorder="1" applyAlignment="1">
      <alignment vertical="top"/>
    </xf>
    <xf numFmtId="0" fontId="4" fillId="0" borderId="7" xfId="0" applyFont="1" applyBorder="1" applyAlignment="1">
      <alignment vertical="top"/>
    </xf>
    <xf numFmtId="0" fontId="4" fillId="3" borderId="8" xfId="0" applyFont="1" applyFill="1" applyBorder="1" applyAlignment="1">
      <alignment horizontal="center" vertical="top"/>
    </xf>
    <xf numFmtId="0" fontId="3" fillId="0" borderId="1" xfId="0" applyFont="1" applyBorder="1" applyAlignment="1">
      <alignment vertical="top" wrapText="1"/>
    </xf>
    <xf numFmtId="0" fontId="0" fillId="0" borderId="0" xfId="0" applyAlignment="1">
      <alignment horizontal="left" vertical="top"/>
    </xf>
    <xf numFmtId="0" fontId="0" fillId="0" borderId="0" xfId="0" applyAlignment="1">
      <alignment horizontal="left"/>
    </xf>
    <xf numFmtId="0" fontId="0" fillId="0" borderId="0" xfId="0" applyAlignment="1">
      <alignment horizontal="center"/>
    </xf>
    <xf numFmtId="3" fontId="4" fillId="4" borderId="8" xfId="0" applyNumberFormat="1" applyFont="1" applyFill="1" applyBorder="1" applyAlignment="1">
      <alignment vertical="top"/>
    </xf>
    <xf numFmtId="3" fontId="4" fillId="4" borderId="13" xfId="0" applyNumberFormat="1" applyFont="1" applyFill="1" applyBorder="1" applyAlignment="1">
      <alignment vertical="top"/>
    </xf>
    <xf numFmtId="3" fontId="4" fillId="4" borderId="13" xfId="0" applyNumberFormat="1" applyFont="1" applyFill="1" applyBorder="1" applyAlignment="1">
      <alignment horizontal="center" vertical="top"/>
    </xf>
    <xf numFmtId="9" fontId="4" fillId="4" borderId="12" xfId="3" applyFont="1" applyFill="1" applyBorder="1" applyAlignment="1">
      <alignment horizontal="center" vertical="top"/>
    </xf>
    <xf numFmtId="3" fontId="4" fillId="4" borderId="8" xfId="0" applyNumberFormat="1" applyFont="1" applyFill="1" applyBorder="1" applyAlignment="1">
      <alignment vertical="top" wrapText="1"/>
    </xf>
    <xf numFmtId="9" fontId="4" fillId="4" borderId="12" xfId="3" applyFont="1" applyFill="1" applyBorder="1" applyAlignment="1">
      <alignment vertical="top" wrapText="1"/>
    </xf>
    <xf numFmtId="9" fontId="4" fillId="4" borderId="8" xfId="3" applyFont="1" applyFill="1" applyBorder="1" applyAlignment="1">
      <alignment vertical="top"/>
    </xf>
    <xf numFmtId="9" fontId="4" fillId="4" borderId="8" xfId="0" applyNumberFormat="1" applyFont="1" applyFill="1" applyBorder="1" applyAlignment="1">
      <alignment vertical="top"/>
    </xf>
    <xf numFmtId="9" fontId="4" fillId="4" borderId="8" xfId="3" applyFont="1" applyFill="1" applyBorder="1" applyAlignment="1">
      <alignment vertical="top" wrapText="1"/>
    </xf>
    <xf numFmtId="0" fontId="4" fillId="4" borderId="8" xfId="0" applyFont="1" applyFill="1" applyBorder="1" applyAlignment="1">
      <alignment horizontal="center" vertical="top"/>
    </xf>
    <xf numFmtId="164" fontId="4" fillId="4" borderId="8" xfId="0" applyNumberFormat="1" applyFont="1" applyFill="1" applyBorder="1" applyAlignment="1">
      <alignment horizontal="center" vertical="top"/>
    </xf>
    <xf numFmtId="3" fontId="4" fillId="3" borderId="7" xfId="0" applyNumberFormat="1" applyFont="1" applyFill="1" applyBorder="1" applyAlignment="1" applyProtection="1">
      <alignment horizontal="right" vertical="top" wrapText="1"/>
      <protection locked="0"/>
    </xf>
    <xf numFmtId="9" fontId="4" fillId="4" borderId="12" xfId="3" applyFont="1" applyFill="1" applyBorder="1" applyAlignment="1">
      <alignment horizontal="center" vertical="center"/>
    </xf>
    <xf numFmtId="9" fontId="4" fillId="4" borderId="12" xfId="3" applyFont="1" applyFill="1" applyBorder="1" applyAlignment="1">
      <alignment horizontal="center" vertical="top" wrapText="1"/>
    </xf>
    <xf numFmtId="0" fontId="4" fillId="4" borderId="12" xfId="0" applyFont="1" applyFill="1" applyBorder="1" applyAlignment="1">
      <alignment horizontal="center" vertical="top" wrapText="1"/>
    </xf>
    <xf numFmtId="0" fontId="4" fillId="6" borderId="8" xfId="0" applyFont="1" applyFill="1" applyBorder="1" applyAlignment="1">
      <alignment horizontal="center" vertical="top" wrapText="1"/>
    </xf>
    <xf numFmtId="0" fontId="4" fillId="6" borderId="7" xfId="0" applyFont="1" applyFill="1" applyBorder="1" applyAlignment="1" applyProtection="1">
      <alignment horizontal="center" vertical="top" wrapText="1"/>
      <protection locked="0"/>
    </xf>
    <xf numFmtId="9" fontId="4" fillId="6" borderId="12" xfId="3" applyFont="1" applyFill="1" applyBorder="1" applyAlignment="1">
      <alignment horizontal="center" vertical="top" wrapText="1"/>
    </xf>
    <xf numFmtId="9" fontId="4" fillId="6" borderId="8" xfId="3" applyNumberFormat="1" applyFont="1" applyFill="1" applyBorder="1" applyAlignment="1">
      <alignment horizontal="center" vertical="top" wrapText="1"/>
    </xf>
    <xf numFmtId="9" fontId="4" fillId="4" borderId="7" xfId="0" applyNumberFormat="1" applyFont="1" applyFill="1" applyBorder="1" applyAlignment="1">
      <alignment horizontal="center" vertical="top"/>
    </xf>
    <xf numFmtId="9" fontId="4" fillId="4" borderId="8" xfId="0" applyNumberFormat="1" applyFont="1" applyFill="1" applyBorder="1" applyAlignment="1">
      <alignment horizontal="center" vertical="top"/>
    </xf>
    <xf numFmtId="0" fontId="22" fillId="0" borderId="0" xfId="0" applyFont="1" applyAlignment="1">
      <alignment vertical="top"/>
    </xf>
    <xf numFmtId="9" fontId="4" fillId="3" borderId="8" xfId="0" applyNumberFormat="1" applyFont="1" applyFill="1" applyBorder="1" applyAlignment="1" applyProtection="1">
      <alignment horizontal="center" vertical="top"/>
      <protection locked="0"/>
    </xf>
    <xf numFmtId="9" fontId="4" fillId="4" borderId="14" xfId="0" applyNumberFormat="1" applyFont="1" applyFill="1" applyBorder="1" applyAlignment="1" applyProtection="1">
      <alignment horizontal="center" vertical="top"/>
    </xf>
    <xf numFmtId="0" fontId="0" fillId="0" borderId="16" xfId="0" applyBorder="1"/>
    <xf numFmtId="0" fontId="4" fillId="3" borderId="8" xfId="0" applyFont="1" applyFill="1" applyBorder="1" applyAlignment="1" applyProtection="1">
      <alignment horizontal="left" vertical="top"/>
      <protection locked="0"/>
    </xf>
    <xf numFmtId="0" fontId="3" fillId="3" borderId="24" xfId="0" applyFont="1" applyFill="1" applyBorder="1" applyAlignment="1">
      <alignment horizontal="left" vertical="top" wrapText="1"/>
    </xf>
    <xf numFmtId="0" fontId="3" fillId="3" borderId="25" xfId="0" applyFont="1" applyFill="1" applyBorder="1" applyAlignment="1">
      <alignment horizontal="left" vertical="top" wrapText="1"/>
    </xf>
    <xf numFmtId="0" fontId="3" fillId="3" borderId="26" xfId="0" applyFont="1" applyFill="1" applyBorder="1" applyAlignment="1">
      <alignment horizontal="left" vertical="top" wrapText="1"/>
    </xf>
    <xf numFmtId="0" fontId="12" fillId="0" borderId="14" xfId="0" applyFont="1" applyBorder="1" applyAlignment="1">
      <alignment horizontal="left" vertical="top"/>
    </xf>
    <xf numFmtId="0" fontId="4" fillId="5" borderId="8" xfId="0" applyFont="1" applyFill="1" applyBorder="1" applyAlignment="1" applyProtection="1">
      <alignment horizontal="left" vertical="top"/>
      <protection locked="0"/>
    </xf>
    <xf numFmtId="0" fontId="4" fillId="5" borderId="8" xfId="0" applyFont="1" applyFill="1" applyBorder="1" applyAlignment="1">
      <alignment horizontal="left" vertical="top" wrapText="1"/>
    </xf>
    <xf numFmtId="0" fontId="7" fillId="0" borderId="0" xfId="0" applyFont="1" applyAlignment="1">
      <alignment horizontal="right" vertical="top"/>
    </xf>
    <xf numFmtId="0" fontId="4" fillId="0" borderId="0" xfId="0" applyFont="1" applyAlignment="1">
      <alignment horizontal="right" vertical="top"/>
    </xf>
    <xf numFmtId="0" fontId="0" fillId="0" borderId="0" xfId="0" applyAlignment="1">
      <alignment horizontal="right" vertical="top"/>
    </xf>
    <xf numFmtId="0" fontId="0" fillId="0" borderId="0" xfId="0" applyFill="1"/>
    <xf numFmtId="0" fontId="0" fillId="0" borderId="0" xfId="0" applyFill="1" applyBorder="1" applyAlignment="1">
      <alignment horizontal="left" vertical="top"/>
    </xf>
    <xf numFmtId="0" fontId="0" fillId="0" borderId="0" xfId="0" applyFill="1" applyBorder="1" applyAlignment="1">
      <alignment horizontal="left" vertical="top" wrapText="1"/>
    </xf>
    <xf numFmtId="0" fontId="22" fillId="0" borderId="0" xfId="0" applyFont="1"/>
    <xf numFmtId="0" fontId="6" fillId="0" borderId="8"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4" fillId="0" borderId="6" xfId="0" applyFont="1" applyBorder="1" applyAlignment="1" applyProtection="1">
      <alignment vertical="top" wrapText="1"/>
      <protection locked="0"/>
    </xf>
    <xf numFmtId="0" fontId="0" fillId="0" borderId="6" xfId="0" applyBorder="1" applyAlignment="1" applyProtection="1">
      <alignment vertical="top" wrapText="1"/>
      <protection locked="0"/>
    </xf>
    <xf numFmtId="0" fontId="4" fillId="0" borderId="13"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4" fillId="0" borderId="8" xfId="0" applyFont="1" applyBorder="1" applyAlignment="1" applyProtection="1">
      <alignment vertical="top" wrapText="1"/>
      <protection locked="0"/>
    </xf>
    <xf numFmtId="0" fontId="12" fillId="0" borderId="14" xfId="0" applyFont="1" applyBorder="1" applyAlignment="1" applyProtection="1">
      <alignment vertical="top" wrapText="1"/>
      <protection locked="0"/>
    </xf>
    <xf numFmtId="0" fontId="12" fillId="0" borderId="15" xfId="0" applyFont="1" applyBorder="1" applyAlignment="1" applyProtection="1">
      <alignment vertical="top" wrapText="1"/>
      <protection locked="0"/>
    </xf>
    <xf numFmtId="0" fontId="12" fillId="0" borderId="7" xfId="0" applyFont="1" applyBorder="1" applyAlignment="1" applyProtection="1">
      <alignment vertical="top" wrapText="1"/>
      <protection locked="0"/>
    </xf>
    <xf numFmtId="0" fontId="4" fillId="0" borderId="8" xfId="0" applyFont="1" applyBorder="1" applyAlignment="1">
      <alignment vertical="top" wrapText="1"/>
    </xf>
    <xf numFmtId="0" fontId="3" fillId="0" borderId="1" xfId="0" applyFont="1" applyBorder="1" applyAlignment="1">
      <alignment vertical="top" wrapText="1"/>
    </xf>
    <xf numFmtId="9" fontId="4" fillId="4" borderId="12" xfId="3" applyFont="1" applyFill="1" applyBorder="1" applyAlignment="1" applyProtection="1">
      <alignment horizontal="center" vertical="top"/>
    </xf>
    <xf numFmtId="3" fontId="4" fillId="3" borderId="8" xfId="0" applyNumberFormat="1" applyFont="1" applyFill="1" applyBorder="1" applyAlignment="1" applyProtection="1">
      <alignment vertical="top" wrapText="1"/>
      <protection locked="0"/>
    </xf>
    <xf numFmtId="0" fontId="0" fillId="3" borderId="16" xfId="0" applyFill="1" applyBorder="1" applyAlignment="1" applyProtection="1">
      <alignment vertical="top"/>
      <protection locked="0"/>
    </xf>
    <xf numFmtId="0" fontId="0" fillId="0" borderId="0" xfId="0" applyProtection="1">
      <protection locked="0"/>
    </xf>
    <xf numFmtId="3" fontId="4" fillId="4" borderId="13" xfId="0" applyNumberFormat="1" applyFont="1" applyFill="1" applyBorder="1" applyAlignment="1" applyProtection="1">
      <alignment vertical="top"/>
      <protection locked="0"/>
    </xf>
    <xf numFmtId="0" fontId="0" fillId="0" borderId="8" xfId="0" applyBorder="1" applyAlignment="1" applyProtection="1">
      <alignment vertical="top"/>
      <protection locked="0"/>
    </xf>
    <xf numFmtId="0" fontId="12" fillId="0" borderId="12" xfId="0" applyFont="1" applyBorder="1" applyAlignment="1" applyProtection="1">
      <alignment vertical="top" wrapText="1"/>
      <protection locked="0"/>
    </xf>
    <xf numFmtId="0" fontId="4" fillId="0" borderId="1" xfId="0" applyFont="1" applyBorder="1" applyAlignment="1" applyProtection="1">
      <alignment horizontal="center" vertical="top" wrapText="1"/>
      <protection locked="0"/>
    </xf>
    <xf numFmtId="0" fontId="15" fillId="0" borderId="6" xfId="0" applyFont="1" applyBorder="1" applyAlignment="1" applyProtection="1">
      <alignment vertical="top" wrapText="1"/>
      <protection locked="0"/>
    </xf>
    <xf numFmtId="9" fontId="25" fillId="6" borderId="8" xfId="0" applyNumberFormat="1" applyFont="1" applyFill="1" applyBorder="1" applyAlignment="1" applyProtection="1">
      <alignment horizontal="center" vertical="top"/>
    </xf>
    <xf numFmtId="9" fontId="4" fillId="4" borderId="14" xfId="0" applyNumberFormat="1" applyFont="1" applyFill="1" applyBorder="1" applyAlignment="1" applyProtection="1">
      <alignment horizontal="right" vertical="top"/>
    </xf>
    <xf numFmtId="9" fontId="26" fillId="4" borderId="8" xfId="0" applyNumberFormat="1" applyFont="1" applyFill="1" applyBorder="1" applyAlignment="1">
      <alignment vertical="top"/>
    </xf>
    <xf numFmtId="0" fontId="14" fillId="0" borderId="16" xfId="0" applyFont="1" applyBorder="1"/>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8" fillId="0" borderId="4" xfId="0" applyFont="1" applyBorder="1" applyAlignment="1">
      <alignment horizontal="center" vertical="center" wrapText="1"/>
    </xf>
    <xf numFmtId="0" fontId="4" fillId="0" borderId="12" xfId="0" applyFont="1" applyBorder="1" applyAlignment="1">
      <alignment horizontal="center" vertical="top" wrapText="1"/>
    </xf>
    <xf numFmtId="9" fontId="4" fillId="6" borderId="8" xfId="3" applyFont="1" applyFill="1" applyBorder="1" applyAlignment="1">
      <alignment horizontal="center" vertical="top"/>
    </xf>
    <xf numFmtId="9" fontId="8" fillId="4" borderId="14" xfId="0" applyNumberFormat="1" applyFont="1" applyFill="1" applyBorder="1" applyAlignment="1" applyProtection="1">
      <alignment horizontal="distributed" vertical="top"/>
    </xf>
    <xf numFmtId="0" fontId="4" fillId="3" borderId="7" xfId="0" applyFont="1" applyFill="1" applyBorder="1" applyAlignment="1" applyProtection="1">
      <alignment horizontal="center" vertical="top"/>
      <protection locked="0"/>
    </xf>
    <xf numFmtId="3" fontId="4" fillId="3" borderId="8" xfId="0" applyNumberFormat="1" applyFont="1" applyFill="1" applyBorder="1" applyAlignment="1" applyProtection="1">
      <alignment vertical="top"/>
      <protection locked="0"/>
    </xf>
    <xf numFmtId="165" fontId="4" fillId="4" borderId="12" xfId="4" applyNumberFormat="1" applyFont="1" applyFill="1" applyBorder="1" applyAlignment="1">
      <alignment horizontal="center" vertical="top" wrapText="1"/>
    </xf>
    <xf numFmtId="9" fontId="25" fillId="6" borderId="8" xfId="3" applyNumberFormat="1" applyFont="1" applyFill="1" applyBorder="1" applyAlignment="1">
      <alignment horizontal="center" vertical="top" wrapText="1"/>
    </xf>
    <xf numFmtId="0" fontId="0" fillId="3" borderId="30" xfId="0" applyFill="1" applyBorder="1" applyAlignment="1">
      <alignment vertical="top"/>
    </xf>
    <xf numFmtId="0" fontId="23" fillId="6" borderId="18" xfId="0" applyFont="1" applyFill="1" applyBorder="1" applyAlignment="1">
      <alignment vertical="top"/>
    </xf>
    <xf numFmtId="0" fontId="0" fillId="6" borderId="20" xfId="0" applyFill="1" applyBorder="1" applyAlignment="1">
      <alignment vertical="top"/>
    </xf>
    <xf numFmtId="9" fontId="0" fillId="8" borderId="12" xfId="0" applyNumberFormat="1" applyFill="1" applyBorder="1" applyAlignment="1">
      <alignment horizontal="center" vertical="top"/>
    </xf>
    <xf numFmtId="9" fontId="7" fillId="3" borderId="16" xfId="0" applyNumberFormat="1" applyFont="1" applyFill="1" applyBorder="1" applyAlignment="1">
      <alignment horizontal="right" vertical="top"/>
    </xf>
    <xf numFmtId="9" fontId="0" fillId="0" borderId="0" xfId="3" applyFont="1"/>
    <xf numFmtId="9" fontId="0" fillId="6" borderId="12" xfId="0" applyNumberFormat="1" applyFill="1" applyBorder="1" applyAlignment="1">
      <alignment horizontal="center" vertical="top"/>
    </xf>
    <xf numFmtId="0" fontId="4" fillId="0" borderId="5" xfId="0" applyFont="1" applyBorder="1" applyAlignment="1" applyProtection="1">
      <alignment vertical="top" wrapText="1"/>
      <protection locked="0"/>
    </xf>
    <xf numFmtId="0" fontId="4" fillId="0" borderId="13"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4" fillId="0" borderId="5" xfId="0" applyFont="1" applyBorder="1" applyAlignment="1">
      <alignment vertical="top" wrapText="1"/>
    </xf>
    <xf numFmtId="0" fontId="4" fillId="0" borderId="13" xfId="0" applyFont="1" applyBorder="1" applyAlignment="1">
      <alignment vertical="top" wrapText="1"/>
    </xf>
    <xf numFmtId="0" fontId="4" fillId="0" borderId="8" xfId="0" applyFont="1" applyBorder="1" applyAlignment="1" applyProtection="1">
      <alignment horizontal="center" vertical="top" wrapText="1"/>
      <protection locked="0"/>
    </xf>
    <xf numFmtId="0" fontId="4" fillId="0" borderId="7" xfId="0" applyFont="1" applyBorder="1" applyAlignment="1" applyProtection="1">
      <alignment vertical="top"/>
      <protection locked="0"/>
    </xf>
    <xf numFmtId="0" fontId="8" fillId="0" borderId="5" xfId="0" applyFont="1" applyBorder="1" applyAlignment="1" applyProtection="1">
      <alignment vertical="top" wrapText="1"/>
      <protection locked="0"/>
    </xf>
    <xf numFmtId="0" fontId="4" fillId="0" borderId="5" xfId="0" applyFont="1" applyBorder="1" applyAlignment="1" applyProtection="1">
      <alignment vertical="top" wrapText="1"/>
      <protection locked="0"/>
    </xf>
    <xf numFmtId="0" fontId="4" fillId="0" borderId="13" xfId="0" applyFont="1" applyBorder="1" applyAlignment="1" applyProtection="1">
      <alignment vertical="top" wrapText="1"/>
      <protection locked="0"/>
    </xf>
    <xf numFmtId="0" fontId="4" fillId="0" borderId="6" xfId="0" applyFont="1" applyBorder="1" applyAlignment="1" applyProtection="1">
      <alignment horizontal="center" vertical="top" wrapText="1"/>
      <protection locked="0"/>
    </xf>
    <xf numFmtId="0" fontId="4" fillId="0" borderId="8" xfId="0" applyFont="1" applyBorder="1" applyAlignment="1" applyProtection="1">
      <alignment horizontal="center" vertical="top" wrapText="1"/>
      <protection locked="0"/>
    </xf>
    <xf numFmtId="0" fontId="0" fillId="7" borderId="20" xfId="0" applyFill="1" applyBorder="1" applyAlignment="1">
      <alignment vertical="top"/>
    </xf>
    <xf numFmtId="9" fontId="4" fillId="3" borderId="8" xfId="0" applyNumberFormat="1" applyFont="1" applyFill="1" applyBorder="1" applyAlignment="1" applyProtection="1">
      <alignment horizontal="center" vertical="top" wrapText="1"/>
      <protection locked="0"/>
    </xf>
    <xf numFmtId="0" fontId="0" fillId="0" borderId="0" xfId="0" applyAlignment="1" applyProtection="1">
      <protection locked="0"/>
    </xf>
    <xf numFmtId="0" fontId="4" fillId="6" borderId="8" xfId="0" applyFont="1" applyFill="1" applyBorder="1" applyAlignment="1" applyProtection="1">
      <alignment horizontal="left" vertical="top"/>
      <protection locked="0"/>
    </xf>
    <xf numFmtId="0" fontId="0" fillId="0" borderId="0" xfId="0" applyProtection="1"/>
    <xf numFmtId="0" fontId="2" fillId="0" borderId="0" xfId="0" applyFont="1" applyAlignment="1" applyProtection="1">
      <alignment vertical="top"/>
    </xf>
    <xf numFmtId="0" fontId="2" fillId="0" borderId="0" xfId="0" applyFont="1" applyAlignment="1" applyProtection="1">
      <alignment horizontal="center" vertical="top"/>
    </xf>
    <xf numFmtId="0" fontId="0" fillId="0" borderId="0" xfId="0" applyAlignment="1" applyProtection="1">
      <alignment vertical="top"/>
    </xf>
    <xf numFmtId="0" fontId="4" fillId="0" borderId="0" xfId="0" applyFont="1" applyAlignment="1" applyProtection="1">
      <alignment vertical="top"/>
    </xf>
    <xf numFmtId="0" fontId="4" fillId="0" borderId="0" xfId="0" applyFont="1" applyAlignment="1" applyProtection="1">
      <alignment horizontal="center" vertical="top"/>
    </xf>
    <xf numFmtId="0" fontId="20" fillId="0" borderId="0" xfId="0" applyFont="1" applyBorder="1" applyAlignment="1" applyProtection="1">
      <alignment vertical="top"/>
    </xf>
    <xf numFmtId="0" fontId="6" fillId="0" borderId="0" xfId="0" applyFont="1" applyBorder="1" applyAlignment="1" applyProtection="1">
      <alignment horizontal="center" vertical="top" wrapText="1"/>
    </xf>
    <xf numFmtId="0" fontId="0" fillId="7" borderId="16" xfId="0" applyFill="1" applyBorder="1" applyAlignment="1" applyProtection="1">
      <alignment vertical="top"/>
    </xf>
    <xf numFmtId="0" fontId="0" fillId="0" borderId="0" xfId="0" applyFont="1" applyAlignment="1" applyProtection="1">
      <alignment vertical="top"/>
    </xf>
    <xf numFmtId="0" fontId="7" fillId="0" borderId="0" xfId="0" applyFont="1" applyAlignment="1" applyProtection="1">
      <alignment horizontal="right" vertical="top"/>
    </xf>
    <xf numFmtId="9" fontId="0" fillId="6" borderId="12" xfId="0" applyNumberFormat="1" applyFill="1" applyBorder="1" applyAlignment="1" applyProtection="1">
      <alignment horizontal="center" vertical="top"/>
    </xf>
    <xf numFmtId="0" fontId="1" fillId="6" borderId="20" xfId="1" applyFill="1" applyBorder="1" applyAlignment="1" applyProtection="1">
      <alignment vertical="top"/>
    </xf>
    <xf numFmtId="0" fontId="0" fillId="3" borderId="16" xfId="0" applyFill="1" applyBorder="1" applyAlignment="1" applyProtection="1">
      <alignment vertical="top"/>
    </xf>
    <xf numFmtId="0" fontId="4" fillId="0" borderId="0" xfId="0" applyFont="1" applyBorder="1" applyAlignment="1" applyProtection="1">
      <alignment horizontal="center" vertical="top"/>
    </xf>
    <xf numFmtId="0" fontId="4" fillId="0" borderId="0" xfId="0" applyFont="1" applyAlignment="1" applyProtection="1">
      <alignment horizontal="right" vertical="top"/>
    </xf>
    <xf numFmtId="0" fontId="23" fillId="6" borderId="18" xfId="0" applyFont="1" applyFill="1" applyBorder="1" applyAlignment="1" applyProtection="1">
      <alignment vertical="top"/>
    </xf>
    <xf numFmtId="9" fontId="7" fillId="6" borderId="12" xfId="0" applyNumberFormat="1" applyFont="1" applyFill="1" applyBorder="1" applyAlignment="1" applyProtection="1">
      <alignment horizontal="center" vertical="top"/>
    </xf>
    <xf numFmtId="0" fontId="0" fillId="6" borderId="20" xfId="0" applyFill="1" applyBorder="1" applyAlignment="1" applyProtection="1">
      <alignment vertical="top"/>
    </xf>
    <xf numFmtId="0" fontId="0" fillId="0" borderId="0" xfId="0" applyAlignment="1" applyProtection="1">
      <alignment horizontal="center" vertical="top"/>
    </xf>
    <xf numFmtId="0" fontId="7" fillId="0" borderId="0" xfId="0" applyFont="1" applyBorder="1" applyAlignment="1" applyProtection="1">
      <alignment vertical="top" wrapText="1"/>
    </xf>
    <xf numFmtId="0" fontId="4" fillId="0" borderId="1" xfId="0" applyFont="1" applyBorder="1" applyAlignment="1" applyProtection="1">
      <alignment vertical="top" wrapText="1"/>
    </xf>
    <xf numFmtId="0" fontId="4" fillId="0" borderId="2" xfId="0" applyFont="1" applyBorder="1" applyAlignment="1" applyProtection="1">
      <alignment horizontal="center" vertical="top" wrapText="1"/>
    </xf>
    <xf numFmtId="0" fontId="4" fillId="0" borderId="2" xfId="0" applyFont="1" applyBorder="1" applyAlignment="1" applyProtection="1">
      <alignment vertical="top" wrapText="1"/>
    </xf>
    <xf numFmtId="0" fontId="4" fillId="0" borderId="3" xfId="0" applyFont="1" applyBorder="1" applyAlignment="1" applyProtection="1">
      <alignment vertical="top" wrapText="1"/>
    </xf>
    <xf numFmtId="0" fontId="4" fillId="0" borderId="4" xfId="0" applyFont="1" applyBorder="1" applyAlignment="1" applyProtection="1">
      <alignment vertical="top" wrapText="1"/>
    </xf>
    <xf numFmtId="0" fontId="4" fillId="0" borderId="6" xfId="0" applyFont="1" applyBorder="1" applyAlignment="1" applyProtection="1">
      <alignment horizontal="center" vertical="top" wrapText="1"/>
    </xf>
    <xf numFmtId="0" fontId="4" fillId="0" borderId="7" xfId="0" applyFont="1" applyBorder="1" applyAlignment="1" applyProtection="1">
      <alignment vertical="top" wrapText="1"/>
    </xf>
    <xf numFmtId="0" fontId="0" fillId="0" borderId="6" xfId="0" applyBorder="1" applyAlignment="1" applyProtection="1">
      <alignment vertical="top"/>
    </xf>
    <xf numFmtId="0" fontId="4" fillId="0" borderId="8" xfId="0" applyFont="1" applyBorder="1" applyAlignment="1" applyProtection="1">
      <alignment vertical="top" wrapText="1"/>
    </xf>
    <xf numFmtId="0" fontId="4" fillId="0" borderId="9" xfId="0" applyFont="1" applyBorder="1" applyAlignment="1" applyProtection="1">
      <alignment horizontal="center" vertical="top" wrapText="1"/>
    </xf>
    <xf numFmtId="0" fontId="4" fillId="0" borderId="11" xfId="0" applyFont="1" applyBorder="1" applyAlignment="1" applyProtection="1">
      <alignment vertical="top" wrapText="1"/>
    </xf>
    <xf numFmtId="0" fontId="4" fillId="0" borderId="8" xfId="0" applyFont="1" applyBorder="1" applyAlignment="1" applyProtection="1">
      <alignment vertical="top" wrapText="1"/>
    </xf>
    <xf numFmtId="0" fontId="4" fillId="0" borderId="7" xfId="0" applyFont="1" applyBorder="1" applyAlignment="1" applyProtection="1">
      <alignment horizontal="center" vertical="top" wrapText="1"/>
    </xf>
    <xf numFmtId="0" fontId="4" fillId="0" borderId="7" xfId="0" applyFont="1" applyBorder="1" applyAlignment="1" applyProtection="1">
      <alignment vertical="top"/>
    </xf>
    <xf numFmtId="0" fontId="0" fillId="0" borderId="1" xfId="0" applyBorder="1" applyAlignment="1" applyProtection="1">
      <alignment vertical="top"/>
    </xf>
    <xf numFmtId="0" fontId="4" fillId="0" borderId="8" xfId="0" applyFont="1" applyBorder="1" applyAlignment="1" applyProtection="1">
      <alignment horizontal="center" vertical="top" wrapText="1"/>
    </xf>
    <xf numFmtId="0" fontId="4" fillId="4" borderId="8" xfId="0" applyFont="1" applyFill="1" applyBorder="1" applyAlignment="1" applyProtection="1">
      <alignment vertical="top"/>
    </xf>
    <xf numFmtId="0" fontId="0" fillId="0" borderId="13" xfId="0" applyBorder="1" applyAlignment="1" applyProtection="1">
      <alignment vertical="top"/>
    </xf>
    <xf numFmtId="0" fontId="4" fillId="0" borderId="13" xfId="0" applyFont="1" applyBorder="1" applyAlignment="1" applyProtection="1">
      <alignment vertical="top" wrapText="1"/>
    </xf>
    <xf numFmtId="0" fontId="4" fillId="0" borderId="10" xfId="0" applyFont="1" applyBorder="1" applyAlignment="1" applyProtection="1">
      <alignment horizontal="center" vertical="top" wrapText="1"/>
    </xf>
    <xf numFmtId="0" fontId="4" fillId="0" borderId="7" xfId="0" applyFont="1" applyBorder="1" applyAlignment="1" applyProtection="1">
      <alignment vertical="top" wrapText="1"/>
    </xf>
    <xf numFmtId="0" fontId="12" fillId="0" borderId="14" xfId="0" applyFont="1" applyBorder="1" applyAlignment="1" applyProtection="1">
      <alignment vertical="top" wrapText="1"/>
    </xf>
    <xf numFmtId="0" fontId="5" fillId="0" borderId="8" xfId="0" applyFont="1" applyBorder="1" applyAlignment="1" applyProtection="1">
      <alignment vertical="top" wrapText="1"/>
    </xf>
    <xf numFmtId="0" fontId="4" fillId="3" borderId="8" xfId="0" applyFont="1" applyFill="1" applyBorder="1" applyAlignment="1" applyProtection="1">
      <alignment vertical="top"/>
    </xf>
    <xf numFmtId="0" fontId="12" fillId="0" borderId="14" xfId="0" applyFont="1" applyBorder="1" applyAlignment="1" applyProtection="1">
      <alignment vertical="top"/>
    </xf>
    <xf numFmtId="0" fontId="12" fillId="0" borderId="15" xfId="0" applyFont="1" applyBorder="1" applyAlignment="1" applyProtection="1">
      <alignment vertical="top"/>
    </xf>
    <xf numFmtId="0" fontId="12" fillId="0" borderId="7" xfId="0" applyFont="1" applyBorder="1" applyAlignment="1" applyProtection="1">
      <alignment vertical="top"/>
    </xf>
    <xf numFmtId="0" fontId="4" fillId="0" borderId="8" xfId="0" applyFont="1" applyBorder="1" applyAlignment="1" applyProtection="1">
      <alignment vertical="top"/>
    </xf>
    <xf numFmtId="17" fontId="4" fillId="0" borderId="13" xfId="0" applyNumberFormat="1" applyFont="1" applyBorder="1" applyAlignment="1" applyProtection="1">
      <alignment vertical="top" wrapText="1"/>
    </xf>
    <xf numFmtId="0" fontId="6" fillId="0" borderId="8" xfId="0" applyFont="1" applyBorder="1" applyAlignment="1" applyProtection="1">
      <alignment vertical="top" wrapText="1"/>
    </xf>
    <xf numFmtId="0" fontId="3" fillId="0" borderId="1" xfId="0" applyFont="1" applyBorder="1" applyAlignment="1" applyProtection="1">
      <alignment vertical="top" wrapText="1"/>
    </xf>
    <xf numFmtId="0" fontId="3" fillId="0" borderId="0" xfId="0" applyFont="1" applyBorder="1" applyAlignment="1" applyProtection="1">
      <alignment horizontal="center" vertical="top" wrapText="1"/>
    </xf>
    <xf numFmtId="0" fontId="4" fillId="0" borderId="12" xfId="0" applyFont="1" applyBorder="1" applyAlignment="1" applyProtection="1">
      <alignment vertical="top" wrapText="1"/>
    </xf>
    <xf numFmtId="0" fontId="4" fillId="0" borderId="14" xfId="0" applyFont="1" applyBorder="1" applyAlignment="1" applyProtection="1">
      <alignment horizontal="center" vertical="top" wrapText="1"/>
    </xf>
    <xf numFmtId="0" fontId="4" fillId="0" borderId="9" xfId="0" applyFont="1" applyBorder="1" applyAlignment="1" applyProtection="1">
      <alignment vertical="top" wrapText="1"/>
    </xf>
    <xf numFmtId="0" fontId="4" fillId="5" borderId="8" xfId="0" applyFont="1" applyFill="1" applyBorder="1" applyAlignment="1" applyProtection="1">
      <alignment vertical="top" wrapText="1"/>
      <protection locked="0"/>
    </xf>
    <xf numFmtId="0" fontId="7" fillId="0" borderId="0" xfId="0" applyFont="1" applyAlignment="1" applyProtection="1">
      <alignment horizontal="center" vertical="top"/>
    </xf>
    <xf numFmtId="9" fontId="4" fillId="9" borderId="12" xfId="3" applyFont="1" applyFill="1" applyBorder="1" applyAlignment="1" applyProtection="1">
      <alignment horizontal="center" vertical="top"/>
    </xf>
    <xf numFmtId="0" fontId="12" fillId="0" borderId="14" xfId="0" applyFont="1" applyBorder="1" applyAlignment="1" applyProtection="1">
      <alignment horizontal="center" vertical="top"/>
    </xf>
    <xf numFmtId="0" fontId="3" fillId="0" borderId="8" xfId="0" applyFont="1" applyBorder="1" applyAlignment="1" applyProtection="1">
      <alignment vertical="top" wrapText="1"/>
    </xf>
    <xf numFmtId="0" fontId="3" fillId="0" borderId="0" xfId="0" applyFont="1" applyAlignment="1" applyProtection="1">
      <alignment vertical="top"/>
    </xf>
    <xf numFmtId="0" fontId="3" fillId="0" borderId="0" xfId="0" applyFont="1" applyAlignment="1" applyProtection="1">
      <alignment horizontal="center" vertical="top"/>
    </xf>
    <xf numFmtId="0" fontId="12" fillId="0" borderId="12" xfId="0" applyFont="1" applyBorder="1" applyAlignment="1" applyProtection="1">
      <alignment vertical="top" wrapText="1"/>
    </xf>
    <xf numFmtId="0" fontId="12" fillId="0" borderId="0" xfId="0" applyFont="1" applyBorder="1" applyAlignment="1" applyProtection="1">
      <alignment horizontal="center" vertical="top" wrapText="1"/>
    </xf>
    <xf numFmtId="0" fontId="3" fillId="0" borderId="6" xfId="0" applyFont="1" applyBorder="1" applyAlignment="1" applyProtection="1">
      <alignment vertical="top" wrapText="1"/>
    </xf>
    <xf numFmtId="0" fontId="4" fillId="0" borderId="6" xfId="0" applyFont="1" applyBorder="1" applyAlignment="1" applyProtection="1">
      <alignment vertical="top" wrapText="1"/>
    </xf>
    <xf numFmtId="0" fontId="0" fillId="0" borderId="6" xfId="0" applyBorder="1" applyAlignment="1" applyProtection="1">
      <alignment vertical="top" wrapText="1"/>
    </xf>
    <xf numFmtId="0" fontId="4" fillId="5" borderId="8" xfId="0" applyFont="1" applyFill="1" applyBorder="1" applyAlignment="1" applyProtection="1">
      <alignment vertical="top"/>
      <protection locked="0"/>
    </xf>
    <xf numFmtId="0" fontId="7" fillId="0" borderId="0" xfId="0" applyFont="1" applyAlignment="1" applyProtection="1">
      <alignment vertical="top" wrapText="1"/>
    </xf>
    <xf numFmtId="0" fontId="4" fillId="0" borderId="7" xfId="0" applyFont="1" applyBorder="1" applyAlignment="1" applyProtection="1">
      <alignment horizontal="center" vertical="top"/>
    </xf>
    <xf numFmtId="0" fontId="7" fillId="0" borderId="0" xfId="0" applyFont="1" applyAlignment="1" applyProtection="1">
      <alignment vertical="top"/>
    </xf>
    <xf numFmtId="0" fontId="0" fillId="0" borderId="7" xfId="0" applyBorder="1" applyAlignment="1" applyProtection="1">
      <alignment vertical="top"/>
    </xf>
    <xf numFmtId="0" fontId="12" fillId="0" borderId="15" xfId="0" applyFont="1" applyBorder="1" applyAlignment="1" applyProtection="1">
      <alignment vertical="top" wrapText="1"/>
    </xf>
    <xf numFmtId="0" fontId="12" fillId="0" borderId="7" xfId="0" applyFont="1" applyBorder="1" applyAlignment="1" applyProtection="1">
      <alignment vertical="top" wrapText="1"/>
    </xf>
    <xf numFmtId="0" fontId="5" fillId="0" borderId="14" xfId="0" applyFont="1" applyBorder="1" applyAlignment="1" applyProtection="1">
      <alignment vertical="top" wrapText="1"/>
    </xf>
    <xf numFmtId="0" fontId="0" fillId="0" borderId="4" xfId="0" applyBorder="1" applyAlignment="1" applyProtection="1">
      <alignment vertical="top"/>
    </xf>
    <xf numFmtId="0" fontId="4" fillId="0" borderId="14" xfId="0" applyFont="1" applyBorder="1" applyAlignment="1" applyProtection="1">
      <alignment vertical="top" wrapText="1"/>
    </xf>
    <xf numFmtId="0" fontId="7" fillId="0" borderId="11" xfId="0" applyFont="1" applyBorder="1" applyAlignment="1" applyProtection="1">
      <alignment vertical="top" wrapText="1"/>
    </xf>
    <xf numFmtId="0" fontId="0" fillId="0" borderId="8" xfId="0" applyBorder="1" applyAlignment="1" applyProtection="1">
      <alignment vertical="top"/>
    </xf>
    <xf numFmtId="0" fontId="5" fillId="0" borderId="14" xfId="0" applyFont="1" applyBorder="1" applyAlignment="1" applyProtection="1">
      <alignment vertical="top"/>
    </xf>
    <xf numFmtId="0" fontId="4" fillId="0" borderId="14" xfId="0" applyFont="1" applyBorder="1" applyAlignment="1" applyProtection="1">
      <alignment vertical="top"/>
    </xf>
    <xf numFmtId="0" fontId="4" fillId="0" borderId="10" xfId="0" applyFont="1" applyBorder="1" applyAlignment="1" applyProtection="1">
      <alignment vertical="top" wrapText="1"/>
    </xf>
    <xf numFmtId="0" fontId="4" fillId="0" borderId="11" xfId="0" applyFont="1" applyBorder="1" applyAlignment="1" applyProtection="1">
      <alignment horizontal="center" vertical="top" wrapText="1"/>
    </xf>
    <xf numFmtId="0" fontId="4" fillId="0" borderId="15" xfId="0" applyFont="1" applyBorder="1" applyAlignment="1" applyProtection="1">
      <alignment vertical="top" wrapText="1"/>
    </xf>
    <xf numFmtId="0" fontId="3" fillId="0" borderId="7" xfId="0" applyFont="1" applyBorder="1" applyAlignment="1" applyProtection="1">
      <alignment vertical="top" wrapText="1"/>
    </xf>
    <xf numFmtId="0" fontId="14" fillId="0" borderId="0" xfId="0" applyFont="1" applyAlignment="1" applyProtection="1">
      <alignment vertical="top" wrapText="1"/>
    </xf>
    <xf numFmtId="0" fontId="14" fillId="0" borderId="0" xfId="0" applyFont="1" applyAlignment="1" applyProtection="1">
      <alignment horizontal="center" vertical="top" wrapText="1"/>
    </xf>
    <xf numFmtId="0" fontId="3" fillId="0" borderId="12" xfId="0" applyFont="1" applyBorder="1" applyAlignment="1" applyProtection="1">
      <alignment vertical="top" wrapText="1"/>
    </xf>
    <xf numFmtId="0" fontId="4" fillId="3" borderId="7" xfId="0" applyFont="1" applyFill="1" applyBorder="1" applyAlignment="1" applyProtection="1">
      <alignment vertical="top"/>
      <protection locked="0"/>
    </xf>
    <xf numFmtId="0" fontId="4" fillId="0" borderId="5" xfId="0" applyFont="1" applyBorder="1" applyAlignment="1" applyProtection="1">
      <alignment vertical="top" wrapText="1"/>
    </xf>
    <xf numFmtId="0" fontId="4" fillId="0" borderId="5" xfId="0" applyFont="1" applyBorder="1" applyAlignment="1">
      <alignment horizontal="left" vertical="top" wrapText="1"/>
    </xf>
    <xf numFmtId="0" fontId="4" fillId="9" borderId="8" xfId="0" applyFont="1" applyFill="1" applyBorder="1" applyAlignment="1" applyProtection="1">
      <alignment vertical="top"/>
      <protection locked="0"/>
    </xf>
    <xf numFmtId="0" fontId="4" fillId="9" borderId="8" xfId="0" applyFont="1" applyFill="1" applyBorder="1" applyAlignment="1" applyProtection="1">
      <alignment horizontal="center" vertical="top"/>
      <protection locked="0"/>
    </xf>
    <xf numFmtId="0" fontId="4" fillId="9" borderId="7" xfId="0" applyFont="1" applyFill="1" applyBorder="1" applyAlignment="1" applyProtection="1">
      <alignment vertical="top"/>
    </xf>
    <xf numFmtId="0" fontId="4" fillId="0" borderId="8" xfId="0" applyFont="1" applyBorder="1" applyAlignment="1" applyProtection="1">
      <alignment horizontal="left" vertical="top" wrapText="1"/>
    </xf>
    <xf numFmtId="0" fontId="4" fillId="0" borderId="4" xfId="0" applyFont="1" applyBorder="1" applyAlignment="1" applyProtection="1">
      <alignment horizontal="center" vertical="top" wrapText="1"/>
    </xf>
    <xf numFmtId="0" fontId="4" fillId="0" borderId="8" xfId="0" applyFont="1" applyBorder="1" applyAlignment="1" applyProtection="1">
      <alignment horizontal="center" vertical="top" wrapText="1"/>
    </xf>
    <xf numFmtId="0" fontId="17" fillId="0" borderId="8" xfId="2" applyBorder="1" applyAlignment="1" applyProtection="1">
      <alignment vertical="top" wrapText="1"/>
    </xf>
    <xf numFmtId="0" fontId="16" fillId="0" borderId="6" xfId="0" applyFont="1" applyBorder="1" applyAlignment="1" applyProtection="1">
      <alignment vertical="top" wrapText="1"/>
    </xf>
    <xf numFmtId="0" fontId="16" fillId="0" borderId="8" xfId="0" applyFont="1" applyBorder="1" applyAlignment="1" applyProtection="1">
      <alignment vertical="top" wrapText="1"/>
    </xf>
    <xf numFmtId="0" fontId="4" fillId="0" borderId="1" xfId="0" applyFont="1" applyBorder="1" applyAlignment="1" applyProtection="1">
      <alignment horizontal="center" vertical="top" wrapText="1"/>
    </xf>
    <xf numFmtId="0" fontId="0" fillId="0" borderId="9" xfId="0" applyBorder="1" applyProtection="1">
      <protection locked="0"/>
    </xf>
    <xf numFmtId="3" fontId="4" fillId="4" borderId="13" xfId="0" applyNumberFormat="1" applyFont="1" applyFill="1" applyBorder="1" applyAlignment="1" applyProtection="1">
      <alignment horizontal="center" vertical="top"/>
    </xf>
    <xf numFmtId="0" fontId="0" fillId="0" borderId="13" xfId="0" applyBorder="1" applyProtection="1"/>
    <xf numFmtId="0" fontId="8" fillId="0" borderId="13" xfId="0" applyFont="1" applyBorder="1" applyAlignment="1" applyProtection="1">
      <alignment vertical="top" wrapText="1"/>
    </xf>
    <xf numFmtId="0" fontId="8" fillId="0" borderId="10" xfId="0" applyFont="1" applyBorder="1" applyAlignment="1" applyProtection="1">
      <alignment horizontal="center" vertical="top" wrapText="1"/>
    </xf>
    <xf numFmtId="0" fontId="4" fillId="0" borderId="13" xfId="0" applyFont="1" applyBorder="1" applyAlignment="1" applyProtection="1">
      <alignment horizontal="center" vertical="top" wrapText="1"/>
    </xf>
    <xf numFmtId="0" fontId="15" fillId="0" borderId="6" xfId="0" applyFont="1" applyBorder="1" applyAlignment="1" applyProtection="1">
      <alignment vertical="top" wrapText="1"/>
    </xf>
    <xf numFmtId="0" fontId="0" fillId="0" borderId="0" xfId="0" applyAlignment="1" applyProtection="1"/>
    <xf numFmtId="0" fontId="8" fillId="0" borderId="2" xfId="0" applyFont="1" applyBorder="1" applyAlignment="1" applyProtection="1">
      <alignment horizontal="center" vertical="top" wrapText="1"/>
    </xf>
    <xf numFmtId="0" fontId="8" fillId="0" borderId="6" xfId="0" applyFont="1" applyBorder="1" applyAlignment="1" applyProtection="1">
      <alignment horizontal="center" vertical="top" wrapText="1"/>
    </xf>
    <xf numFmtId="0" fontId="8" fillId="0" borderId="9" xfId="0" applyFont="1" applyBorder="1" applyAlignment="1" applyProtection="1">
      <alignment horizontal="center" vertical="top" wrapText="1"/>
    </xf>
    <xf numFmtId="0" fontId="0" fillId="0" borderId="5" xfId="0" applyBorder="1" applyAlignment="1" applyProtection="1">
      <alignment vertical="top"/>
    </xf>
    <xf numFmtId="0" fontId="3" fillId="0" borderId="7" xfId="0" applyFont="1" applyBorder="1" applyAlignment="1" applyProtection="1">
      <alignment horizontal="center" vertical="top" wrapText="1"/>
    </xf>
    <xf numFmtId="0" fontId="3" fillId="0" borderId="7" xfId="0" applyFont="1" applyBorder="1" applyAlignment="1" applyProtection="1">
      <alignment vertical="top"/>
    </xf>
    <xf numFmtId="0" fontId="4" fillId="6" borderId="8" xfId="0" applyFont="1" applyFill="1" applyBorder="1" applyAlignment="1" applyProtection="1">
      <alignment vertical="top"/>
    </xf>
    <xf numFmtId="9" fontId="4" fillId="6" borderId="8" xfId="0" applyNumberFormat="1" applyFont="1" applyFill="1" applyBorder="1" applyAlignment="1" applyProtection="1">
      <alignment horizontal="center" vertical="top"/>
    </xf>
    <xf numFmtId="0" fontId="3" fillId="0" borderId="12" xfId="0" applyFont="1" applyBorder="1" applyAlignment="1" applyProtection="1">
      <alignment horizontal="center" vertical="top" wrapText="1"/>
    </xf>
    <xf numFmtId="0" fontId="3" fillId="0" borderId="7" xfId="0" applyFont="1" applyFill="1" applyBorder="1" applyAlignment="1" applyProtection="1">
      <alignment vertical="top"/>
    </xf>
    <xf numFmtId="9" fontId="4" fillId="4" borderId="8" xfId="0" applyNumberFormat="1" applyFont="1" applyFill="1" applyBorder="1" applyAlignment="1" applyProtection="1">
      <alignment horizontal="center" vertical="top"/>
    </xf>
    <xf numFmtId="0" fontId="12" fillId="0" borderId="4" xfId="0" applyFont="1" applyBorder="1" applyAlignment="1" applyProtection="1">
      <alignment vertical="top"/>
    </xf>
    <xf numFmtId="9" fontId="4" fillId="5" borderId="8" xfId="0" applyNumberFormat="1" applyFont="1" applyFill="1" applyBorder="1" applyAlignment="1" applyProtection="1">
      <alignment vertical="top" wrapText="1"/>
    </xf>
    <xf numFmtId="9" fontId="0" fillId="0" borderId="0" xfId="0" applyNumberFormat="1" applyAlignment="1" applyProtection="1">
      <alignment vertical="top"/>
    </xf>
    <xf numFmtId="0" fontId="4" fillId="0" borderId="0" xfId="0" applyFont="1" applyBorder="1" applyAlignment="1" applyProtection="1">
      <alignment vertical="top" wrapText="1"/>
    </xf>
    <xf numFmtId="0" fontId="8" fillId="0" borderId="5" xfId="0" applyFont="1" applyBorder="1" applyAlignment="1" applyProtection="1">
      <alignment vertical="top" wrapText="1"/>
    </xf>
    <xf numFmtId="0" fontId="4" fillId="3" borderId="8" xfId="0" applyFont="1" applyFill="1" applyBorder="1" applyAlignment="1" applyProtection="1">
      <alignment horizontal="center" vertical="top"/>
      <protection locked="0"/>
    </xf>
    <xf numFmtId="0" fontId="4" fillId="3" borderId="8" xfId="0" applyFont="1" applyFill="1" applyBorder="1" applyAlignment="1" applyProtection="1">
      <alignment horizontal="center" vertical="top" wrapText="1"/>
      <protection locked="0"/>
    </xf>
    <xf numFmtId="3" fontId="4" fillId="4" borderId="8" xfId="0" applyNumberFormat="1" applyFont="1" applyFill="1" applyBorder="1" applyAlignment="1" applyProtection="1">
      <alignment vertical="top"/>
    </xf>
    <xf numFmtId="3" fontId="4" fillId="4" borderId="8" xfId="0" applyNumberFormat="1" applyFont="1" applyFill="1" applyBorder="1" applyAlignment="1" applyProtection="1">
      <alignment horizontal="center" vertical="top"/>
    </xf>
    <xf numFmtId="0" fontId="3" fillId="0" borderId="9" xfId="0" applyFont="1" applyBorder="1" applyAlignment="1" applyProtection="1">
      <alignment vertical="top"/>
    </xf>
    <xf numFmtId="3" fontId="4" fillId="9" borderId="13" xfId="0" applyNumberFormat="1" applyFont="1" applyFill="1" applyBorder="1" applyAlignment="1" applyProtection="1">
      <alignment horizontal="right" vertical="top"/>
    </xf>
    <xf numFmtId="3" fontId="4" fillId="9" borderId="13" xfId="0" applyNumberFormat="1" applyFont="1" applyFill="1" applyBorder="1" applyAlignment="1" applyProtection="1">
      <alignment horizontal="center" vertical="top"/>
    </xf>
    <xf numFmtId="0" fontId="4" fillId="9" borderId="8" xfId="0" applyFont="1" applyFill="1" applyBorder="1" applyAlignment="1" applyProtection="1">
      <alignment vertical="top"/>
    </xf>
    <xf numFmtId="0" fontId="4" fillId="0" borderId="31" xfId="0" applyFont="1" applyBorder="1" applyAlignment="1" applyProtection="1">
      <alignment vertical="top"/>
    </xf>
    <xf numFmtId="0" fontId="4" fillId="0" borderId="32" xfId="0" applyFont="1" applyBorder="1" applyAlignment="1" applyProtection="1">
      <alignment vertical="top"/>
    </xf>
    <xf numFmtId="0" fontId="4" fillId="0" borderId="33" xfId="0" applyFont="1" applyBorder="1" applyAlignment="1" applyProtection="1">
      <alignment vertical="top"/>
    </xf>
    <xf numFmtId="0" fontId="4" fillId="0" borderId="34" xfId="0" applyFont="1" applyBorder="1" applyAlignment="1" applyProtection="1">
      <alignment vertical="top"/>
    </xf>
    <xf numFmtId="3" fontId="4" fillId="6" borderId="16" xfId="0" applyNumberFormat="1" applyFont="1" applyFill="1" applyBorder="1" applyAlignment="1" applyProtection="1">
      <alignment horizontal="center" vertical="top"/>
    </xf>
    <xf numFmtId="3" fontId="4" fillId="6" borderId="35" xfId="0" applyNumberFormat="1" applyFont="1" applyFill="1" applyBorder="1" applyAlignment="1" applyProtection="1">
      <alignment horizontal="center" vertical="top"/>
    </xf>
    <xf numFmtId="0" fontId="4" fillId="0" borderId="34" xfId="0" applyFont="1" applyBorder="1" applyAlignment="1" applyProtection="1">
      <alignment vertical="top" wrapText="1"/>
    </xf>
    <xf numFmtId="9" fontId="4" fillId="6" borderId="36" xfId="3" applyFont="1" applyFill="1" applyBorder="1" applyAlignment="1" applyProtection="1">
      <alignment horizontal="center" vertical="top"/>
    </xf>
    <xf numFmtId="0" fontId="4" fillId="3" borderId="12" xfId="0" applyFont="1" applyFill="1" applyBorder="1" applyAlignment="1" applyProtection="1">
      <alignment vertical="top"/>
      <protection locked="0"/>
    </xf>
    <xf numFmtId="0" fontId="0" fillId="0" borderId="9" xfId="0" applyBorder="1" applyAlignment="1" applyProtection="1">
      <alignment vertical="top"/>
      <protection locked="0"/>
    </xf>
    <xf numFmtId="0" fontId="0" fillId="0" borderId="0" xfId="0" applyBorder="1" applyProtection="1">
      <protection locked="0"/>
    </xf>
    <xf numFmtId="0" fontId="0" fillId="0" borderId="6" xfId="0" applyBorder="1" applyProtection="1">
      <protection locked="0"/>
    </xf>
    <xf numFmtId="0" fontId="0" fillId="0" borderId="10" xfId="0" applyBorder="1" applyAlignment="1" applyProtection="1">
      <alignment vertical="top"/>
      <protection locked="0"/>
    </xf>
    <xf numFmtId="0" fontId="0" fillId="0" borderId="11" xfId="0" applyBorder="1" applyProtection="1">
      <protection locked="0"/>
    </xf>
    <xf numFmtId="0" fontId="0" fillId="0" borderId="8" xfId="0" applyBorder="1" applyProtection="1">
      <protection locked="0"/>
    </xf>
    <xf numFmtId="0" fontId="0" fillId="0" borderId="2" xfId="0" applyBorder="1" applyAlignment="1" applyProtection="1">
      <alignment vertical="top"/>
    </xf>
    <xf numFmtId="0" fontId="0" fillId="0" borderId="3" xfId="0" applyBorder="1" applyProtection="1"/>
    <xf numFmtId="0" fontId="0" fillId="0" borderId="4" xfId="0" applyBorder="1" applyProtection="1"/>
    <xf numFmtId="0" fontId="4" fillId="0" borderId="0" xfId="0" applyFont="1" applyBorder="1" applyAlignment="1" applyProtection="1">
      <alignment horizontal="center" vertical="top" wrapText="1"/>
    </xf>
    <xf numFmtId="0" fontId="28" fillId="0" borderId="16" xfId="0" applyFont="1" applyBorder="1" applyAlignment="1">
      <alignment vertical="top"/>
    </xf>
    <xf numFmtId="0" fontId="0" fillId="0" borderId="0" xfId="0"/>
    <xf numFmtId="1" fontId="4" fillId="4" borderId="12" xfId="3" applyNumberFormat="1" applyFont="1" applyFill="1" applyBorder="1" applyAlignment="1">
      <alignment horizontal="center" vertical="top"/>
    </xf>
    <xf numFmtId="0" fontId="8" fillId="0" borderId="0" xfId="0" applyFont="1" applyBorder="1" applyAlignment="1">
      <alignment vertical="top" wrapText="1"/>
    </xf>
    <xf numFmtId="0" fontId="8" fillId="0" borderId="12" xfId="0" applyFont="1" applyBorder="1" applyAlignment="1">
      <alignment vertical="top" wrapText="1"/>
    </xf>
    <xf numFmtId="9" fontId="0" fillId="6" borderId="12" xfId="3" applyFont="1" applyFill="1" applyBorder="1" applyAlignment="1">
      <alignment horizontal="center" vertical="top"/>
    </xf>
    <xf numFmtId="0" fontId="4" fillId="0" borderId="4" xfId="0" applyFont="1" applyBorder="1" applyAlignment="1" applyProtection="1">
      <alignment vertical="top" wrapText="1"/>
    </xf>
    <xf numFmtId="0" fontId="4" fillId="0" borderId="0" xfId="0" applyFont="1" applyBorder="1" applyAlignment="1" applyProtection="1">
      <alignment vertical="top" wrapText="1"/>
    </xf>
    <xf numFmtId="0" fontId="4" fillId="0" borderId="7" xfId="0" applyFont="1" applyBorder="1" applyAlignment="1" applyProtection="1">
      <alignment vertical="top" wrapText="1"/>
    </xf>
    <xf numFmtId="0" fontId="12" fillId="0" borderId="14" xfId="0" applyFont="1" applyBorder="1" applyAlignment="1" applyProtection="1">
      <alignment vertical="top" wrapText="1"/>
    </xf>
    <xf numFmtId="0" fontId="12" fillId="0" borderId="15" xfId="0" applyFont="1" applyBorder="1" applyAlignment="1" applyProtection="1">
      <alignment vertical="top" wrapText="1"/>
    </xf>
    <xf numFmtId="0" fontId="12" fillId="0" borderId="7" xfId="0" applyFont="1" applyBorder="1" applyAlignment="1" applyProtection="1">
      <alignment vertical="top" wrapText="1"/>
    </xf>
    <xf numFmtId="0" fontId="4" fillId="0" borderId="13" xfId="0" applyFont="1" applyBorder="1" applyAlignment="1" applyProtection="1">
      <alignment vertical="top" wrapText="1"/>
    </xf>
    <xf numFmtId="0" fontId="4" fillId="0" borderId="8" xfId="0" applyFont="1" applyBorder="1" applyAlignment="1" applyProtection="1">
      <alignment vertical="top" wrapText="1"/>
    </xf>
    <xf numFmtId="0" fontId="6" fillId="0" borderId="8" xfId="0" applyFont="1" applyBorder="1" applyAlignment="1" applyProtection="1">
      <alignment vertical="top" wrapText="1"/>
    </xf>
    <xf numFmtId="0" fontId="4" fillId="0" borderId="8" xfId="0" applyFont="1" applyBorder="1" applyAlignment="1" applyProtection="1">
      <alignment horizontal="center" vertical="top" wrapText="1"/>
    </xf>
    <xf numFmtId="0" fontId="3" fillId="0" borderId="4" xfId="0" applyFont="1" applyBorder="1" applyAlignment="1">
      <alignment vertical="top" wrapText="1"/>
    </xf>
    <xf numFmtId="0" fontId="4" fillId="0" borderId="14" xfId="0" applyFont="1" applyBorder="1" applyAlignment="1">
      <alignment horizontal="center" vertical="top" wrapText="1"/>
    </xf>
    <xf numFmtId="0" fontId="3" fillId="0" borderId="3" xfId="0" applyFont="1" applyBorder="1" applyAlignment="1">
      <alignment vertical="top" wrapText="1"/>
    </xf>
    <xf numFmtId="0" fontId="28" fillId="0" borderId="16" xfId="0" applyFont="1" applyBorder="1" applyAlignment="1">
      <alignment vertical="top" wrapText="1"/>
    </xf>
    <xf numFmtId="0" fontId="4" fillId="0" borderId="7" xfId="0" applyFont="1" applyBorder="1" applyAlignment="1" applyProtection="1">
      <alignment vertical="top" wrapText="1"/>
    </xf>
    <xf numFmtId="0" fontId="4" fillId="0" borderId="5" xfId="0" applyFont="1" applyBorder="1" applyAlignment="1">
      <alignment vertical="top" wrapText="1"/>
    </xf>
    <xf numFmtId="0" fontId="4" fillId="0" borderId="13" xfId="0" applyFont="1" applyBorder="1" applyAlignment="1">
      <alignment vertical="top" wrapText="1"/>
    </xf>
    <xf numFmtId="0" fontId="4" fillId="0" borderId="0" xfId="0" applyFont="1" applyAlignment="1">
      <alignment vertical="top" wrapText="1"/>
    </xf>
    <xf numFmtId="0" fontId="4" fillId="0" borderId="11" xfId="0" applyFont="1" applyBorder="1" applyAlignment="1">
      <alignment vertical="top" wrapText="1"/>
    </xf>
    <xf numFmtId="0" fontId="4" fillId="0" borderId="15" xfId="0" applyFont="1" applyBorder="1" applyAlignment="1">
      <alignment vertical="top"/>
    </xf>
    <xf numFmtId="0" fontId="4" fillId="0" borderId="8" xfId="0" applyFont="1" applyBorder="1" applyAlignment="1">
      <alignment horizontal="center" vertical="top" wrapText="1"/>
    </xf>
    <xf numFmtId="0" fontId="8" fillId="0" borderId="7" xfId="0" applyFont="1" applyBorder="1" applyAlignment="1">
      <alignment vertical="top" wrapText="1"/>
    </xf>
    <xf numFmtId="0" fontId="3" fillId="0" borderId="1" xfId="0" applyFont="1" applyBorder="1" applyAlignment="1">
      <alignment vertical="top" wrapText="1"/>
    </xf>
    <xf numFmtId="0" fontId="4" fillId="0" borderId="14" xfId="0" applyFont="1" applyBorder="1" applyAlignment="1" applyProtection="1">
      <alignment vertical="top"/>
      <protection locked="0"/>
    </xf>
    <xf numFmtId="9" fontId="4" fillId="4" borderId="12" xfId="0" applyNumberFormat="1" applyFont="1" applyFill="1" applyBorder="1" applyAlignment="1" applyProtection="1">
      <alignment horizontal="right" vertical="top"/>
    </xf>
    <xf numFmtId="0" fontId="0" fillId="0" borderId="6" xfId="0" applyBorder="1" applyAlignment="1" applyProtection="1">
      <alignment horizontal="center" vertical="top"/>
    </xf>
    <xf numFmtId="3" fontId="4" fillId="4" borderId="8" xfId="0" applyNumberFormat="1" applyFont="1" applyFill="1" applyBorder="1" applyAlignment="1" applyProtection="1">
      <alignment horizontal="right" vertical="top"/>
    </xf>
    <xf numFmtId="3" fontId="4" fillId="4" borderId="8" xfId="0" applyNumberFormat="1" applyFont="1" applyFill="1" applyBorder="1" applyAlignment="1" applyProtection="1">
      <alignment horizontal="right" vertical="top" wrapText="1"/>
    </xf>
    <xf numFmtId="9" fontId="4" fillId="4" borderId="3" xfId="3" applyFont="1" applyFill="1" applyBorder="1" applyAlignment="1" applyProtection="1">
      <alignment horizontal="center" vertical="top"/>
    </xf>
    <xf numFmtId="9" fontId="4" fillId="4" borderId="4" xfId="3" applyFont="1" applyFill="1" applyBorder="1" applyAlignment="1" applyProtection="1">
      <alignment horizontal="center" vertical="top"/>
    </xf>
    <xf numFmtId="9" fontId="4" fillId="4" borderId="8" xfId="3" applyFont="1" applyFill="1" applyBorder="1" applyAlignment="1" applyProtection="1">
      <alignment horizontal="right" vertical="top"/>
    </xf>
    <xf numFmtId="0" fontId="4" fillId="0" borderId="12" xfId="0" applyFont="1" applyBorder="1" applyAlignment="1" applyProtection="1">
      <alignment horizontal="center" vertical="center" wrapText="1"/>
    </xf>
    <xf numFmtId="0" fontId="3" fillId="3" borderId="8" xfId="0" applyFont="1" applyFill="1" applyBorder="1" applyAlignment="1" applyProtection="1">
      <alignment horizontal="center" vertical="top" wrapText="1"/>
      <protection locked="0"/>
    </xf>
    <xf numFmtId="9" fontId="25" fillId="6" borderId="16" xfId="0" applyNumberFormat="1" applyFont="1" applyFill="1" applyBorder="1" applyAlignment="1" applyProtection="1">
      <alignment horizontal="right" vertical="top"/>
    </xf>
    <xf numFmtId="9" fontId="25" fillId="6" borderId="16" xfId="3" applyFont="1" applyFill="1" applyBorder="1" applyAlignment="1" applyProtection="1">
      <alignment horizontal="right" vertical="top"/>
    </xf>
    <xf numFmtId="0" fontId="14" fillId="6" borderId="16" xfId="0" applyFont="1" applyFill="1" applyBorder="1" applyAlignment="1">
      <alignment horizontal="right"/>
    </xf>
    <xf numFmtId="0" fontId="14" fillId="6" borderId="37" xfId="0" applyFont="1" applyFill="1" applyBorder="1" applyAlignment="1">
      <alignment horizontal="right"/>
    </xf>
    <xf numFmtId="3" fontId="4" fillId="4" borderId="16" xfId="0" applyNumberFormat="1" applyFont="1" applyFill="1" applyBorder="1" applyAlignment="1" applyProtection="1">
      <alignment horizontal="right" vertical="top"/>
    </xf>
    <xf numFmtId="0" fontId="14" fillId="6" borderId="30" xfId="0" applyFont="1" applyFill="1" applyBorder="1" applyAlignment="1">
      <alignment horizontal="right"/>
    </xf>
    <xf numFmtId="9" fontId="25" fillId="6" borderId="16" xfId="0" applyNumberFormat="1" applyFont="1" applyFill="1" applyBorder="1" applyAlignment="1">
      <alignment horizontal="right" vertical="top" wrapText="1"/>
    </xf>
    <xf numFmtId="9" fontId="25" fillId="6" borderId="16" xfId="3" applyFont="1" applyFill="1" applyBorder="1" applyAlignment="1">
      <alignment horizontal="right" vertical="top"/>
    </xf>
    <xf numFmtId="9" fontId="25" fillId="6" borderId="16" xfId="0" applyNumberFormat="1" applyFont="1" applyFill="1" applyBorder="1" applyAlignment="1">
      <alignment horizontal="right" vertical="top"/>
    </xf>
    <xf numFmtId="0" fontId="0" fillId="3" borderId="16" xfId="0" applyFill="1" applyBorder="1" applyAlignment="1" applyProtection="1">
      <alignment horizontal="center"/>
      <protection locked="0"/>
    </xf>
    <xf numFmtId="0" fontId="4" fillId="3" borderId="15" xfId="0" applyFont="1" applyFill="1" applyBorder="1" applyAlignment="1" applyProtection="1">
      <alignment horizontal="center" vertical="top" wrapText="1"/>
      <protection locked="0"/>
    </xf>
    <xf numFmtId="9" fontId="4" fillId="4" borderId="14" xfId="3" applyFont="1" applyFill="1" applyBorder="1" applyAlignment="1">
      <alignment horizontal="center" vertical="center"/>
    </xf>
    <xf numFmtId="0" fontId="0" fillId="0" borderId="2" xfId="0" applyBorder="1" applyAlignment="1">
      <alignment vertical="top"/>
    </xf>
    <xf numFmtId="0" fontId="0" fillId="0" borderId="4" xfId="0" applyBorder="1" applyAlignment="1">
      <alignment vertical="top"/>
    </xf>
    <xf numFmtId="0" fontId="0" fillId="0" borderId="9" xfId="0" applyBorder="1" applyAlignment="1">
      <alignment vertical="top"/>
    </xf>
    <xf numFmtId="0" fontId="0" fillId="0" borderId="10" xfId="0" applyBorder="1" applyAlignment="1">
      <alignment vertical="top"/>
    </xf>
    <xf numFmtId="0" fontId="4" fillId="7" borderId="8" xfId="0" applyFont="1" applyFill="1" applyBorder="1" applyAlignment="1" applyProtection="1">
      <alignment horizontal="left" vertical="top"/>
      <protection locked="0"/>
    </xf>
    <xf numFmtId="0" fontId="4" fillId="10" borderId="8" xfId="0" applyFont="1" applyFill="1" applyBorder="1" applyAlignment="1" applyProtection="1">
      <alignment vertical="top" wrapText="1"/>
    </xf>
    <xf numFmtId="3" fontId="4" fillId="3" borderId="13" xfId="0" applyNumberFormat="1" applyFont="1" applyFill="1" applyBorder="1" applyAlignment="1" applyProtection="1">
      <alignment vertical="top" wrapText="1"/>
      <protection locked="0"/>
    </xf>
    <xf numFmtId="0" fontId="8" fillId="3" borderId="8" xfId="0" applyFont="1" applyFill="1" applyBorder="1" applyAlignment="1" applyProtection="1">
      <alignment vertical="top"/>
      <protection locked="0"/>
    </xf>
    <xf numFmtId="0" fontId="4" fillId="3" borderId="8" xfId="0" applyFont="1" applyFill="1" applyBorder="1" applyAlignment="1" applyProtection="1">
      <alignment horizontal="left" vertical="top" wrapText="1"/>
      <protection locked="0"/>
    </xf>
    <xf numFmtId="0" fontId="4" fillId="3" borderId="12" xfId="0" applyFont="1" applyFill="1" applyBorder="1" applyAlignment="1" applyProtection="1">
      <alignment vertical="top" wrapText="1"/>
      <protection locked="0"/>
    </xf>
    <xf numFmtId="0" fontId="3" fillId="3" borderId="8" xfId="0" applyFont="1" applyFill="1" applyBorder="1" applyAlignment="1" applyProtection="1">
      <alignment vertical="top" wrapText="1"/>
      <protection locked="0"/>
    </xf>
    <xf numFmtId="0" fontId="14" fillId="3" borderId="8" xfId="0" applyFont="1" applyFill="1" applyBorder="1" applyAlignment="1" applyProtection="1">
      <alignment horizontal="center" vertical="top"/>
      <protection locked="0"/>
    </xf>
    <xf numFmtId="9" fontId="3" fillId="3" borderId="8" xfId="0" applyNumberFormat="1" applyFont="1" applyFill="1" applyBorder="1" applyAlignment="1" applyProtection="1">
      <alignment horizontal="center" vertical="top"/>
      <protection locked="0"/>
    </xf>
    <xf numFmtId="0" fontId="29" fillId="0" borderId="1" xfId="0" applyFont="1" applyBorder="1" applyAlignment="1">
      <alignment vertical="top" wrapText="1"/>
    </xf>
    <xf numFmtId="164" fontId="4" fillId="3" borderId="8" xfId="0" applyNumberFormat="1" applyFont="1" applyFill="1" applyBorder="1" applyAlignment="1" applyProtection="1">
      <alignment horizontal="center" vertical="top"/>
      <protection locked="0"/>
    </xf>
    <xf numFmtId="165" fontId="4" fillId="8" borderId="15" xfId="0" applyNumberFormat="1" applyFont="1" applyFill="1" applyBorder="1" applyAlignment="1" applyProtection="1">
      <alignment horizontal="center" wrapText="1"/>
      <protection locked="0"/>
    </xf>
    <xf numFmtId="0" fontId="4" fillId="0" borderId="0" xfId="0" applyFont="1" applyAlignment="1">
      <alignment vertical="center" wrapText="1"/>
    </xf>
    <xf numFmtId="0" fontId="4" fillId="0" borderId="6" xfId="0" applyFont="1" applyBorder="1" applyAlignment="1">
      <alignment vertical="center" wrapText="1"/>
    </xf>
    <xf numFmtId="0" fontId="0" fillId="3" borderId="30" xfId="0" applyFill="1" applyBorder="1" applyAlignment="1" applyProtection="1">
      <alignment vertical="top"/>
      <protection locked="0"/>
    </xf>
    <xf numFmtId="0" fontId="4" fillId="0" borderId="16" xfId="0" applyFont="1" applyBorder="1" applyAlignment="1">
      <alignment vertical="top"/>
    </xf>
    <xf numFmtId="9" fontId="4" fillId="4" borderId="13" xfId="3" applyFont="1" applyFill="1" applyBorder="1" applyAlignment="1">
      <alignment horizontal="center" vertical="top" wrapText="1"/>
    </xf>
    <xf numFmtId="0" fontId="3" fillId="0" borderId="1" xfId="0" applyFont="1" applyBorder="1" applyAlignment="1" applyProtection="1">
      <alignment vertical="top" wrapText="1"/>
      <protection locked="0"/>
    </xf>
    <xf numFmtId="9" fontId="4" fillId="3" borderId="12" xfId="3" applyFont="1" applyFill="1" applyBorder="1" applyAlignment="1" applyProtection="1">
      <alignment horizontal="center" vertical="top"/>
      <protection locked="0"/>
    </xf>
    <xf numFmtId="0" fontId="17" fillId="0" borderId="0" xfId="2" applyFill="1"/>
    <xf numFmtId="0" fontId="0" fillId="0" borderId="16" xfId="0" applyBorder="1" applyAlignment="1">
      <alignment horizontal="center"/>
    </xf>
    <xf numFmtId="0" fontId="0" fillId="0" borderId="0" xfId="0" applyFill="1" applyBorder="1" applyAlignment="1">
      <alignment vertical="top"/>
    </xf>
    <xf numFmtId="0" fontId="17" fillId="0" borderId="0" xfId="2" applyFill="1" applyBorder="1"/>
    <xf numFmtId="0" fontId="7" fillId="0" borderId="0" xfId="0" applyFont="1" applyBorder="1" applyAlignment="1" applyProtection="1">
      <alignment horizontal="center" vertical="top"/>
    </xf>
    <xf numFmtId="0" fontId="4" fillId="0" borderId="0" xfId="0" applyFont="1" applyBorder="1" applyAlignment="1" applyProtection="1">
      <alignment horizontal="right" vertical="top"/>
    </xf>
    <xf numFmtId="0" fontId="4" fillId="3" borderId="16" xfId="0" applyFont="1" applyFill="1" applyBorder="1" applyAlignment="1" applyProtection="1">
      <alignment horizontal="center" vertical="top" wrapText="1"/>
      <protection locked="0"/>
    </xf>
    <xf numFmtId="0" fontId="7" fillId="3" borderId="16" xfId="0" applyFont="1" applyFill="1" applyBorder="1" applyAlignment="1" applyProtection="1">
      <alignment horizontal="center" vertical="top"/>
      <protection locked="0"/>
    </xf>
    <xf numFmtId="0" fontId="7" fillId="0" borderId="16" xfId="0" applyFont="1" applyBorder="1" applyAlignment="1" applyProtection="1">
      <alignment horizontal="center" vertical="center" wrapText="1"/>
    </xf>
    <xf numFmtId="0" fontId="4" fillId="0" borderId="6" xfId="0" applyFont="1" applyBorder="1" applyAlignment="1" applyProtection="1">
      <alignment vertical="top" wrapText="1"/>
    </xf>
    <xf numFmtId="0" fontId="4" fillId="0" borderId="7" xfId="0" applyFont="1" applyBorder="1" applyAlignment="1" applyProtection="1">
      <alignment vertical="top" wrapText="1"/>
    </xf>
    <xf numFmtId="0" fontId="4" fillId="0" borderId="8" xfId="0" applyFont="1" applyBorder="1" applyAlignment="1" applyProtection="1">
      <alignment vertical="top" wrapText="1"/>
    </xf>
    <xf numFmtId="0" fontId="4" fillId="0" borderId="8" xfId="0" applyFont="1" applyBorder="1" applyAlignment="1" applyProtection="1">
      <alignment horizontal="center" vertical="top" wrapText="1"/>
    </xf>
    <xf numFmtId="0" fontId="7" fillId="0" borderId="16" xfId="0" applyFont="1" applyBorder="1" applyAlignment="1">
      <alignment horizontal="center" vertical="center"/>
    </xf>
    <xf numFmtId="0" fontId="17" fillId="0" borderId="0" xfId="2" applyFill="1" applyProtection="1"/>
    <xf numFmtId="0" fontId="17" fillId="0" borderId="0" xfId="2" applyFill="1" applyBorder="1" applyProtection="1"/>
    <xf numFmtId="0" fontId="4" fillId="0" borderId="8" xfId="0" applyFont="1" applyBorder="1" applyAlignment="1" applyProtection="1">
      <alignment horizontal="center" vertical="top"/>
    </xf>
    <xf numFmtId="0" fontId="4" fillId="0" borderId="13" xfId="0" applyFont="1" applyBorder="1" applyAlignment="1" applyProtection="1">
      <alignment vertical="top"/>
    </xf>
    <xf numFmtId="3" fontId="4" fillId="4" borderId="13" xfId="0" applyNumberFormat="1" applyFont="1" applyFill="1" applyBorder="1" applyAlignment="1" applyProtection="1">
      <alignment vertical="top"/>
    </xf>
    <xf numFmtId="9" fontId="4" fillId="4" borderId="8" xfId="3" applyFont="1" applyFill="1" applyBorder="1" applyAlignment="1" applyProtection="1">
      <alignment vertical="top"/>
    </xf>
    <xf numFmtId="9" fontId="0" fillId="0" borderId="0" xfId="0" applyNumberFormat="1" applyProtection="1"/>
    <xf numFmtId="9" fontId="4" fillId="4" borderId="12" xfId="0" applyNumberFormat="1" applyFont="1" applyFill="1" applyBorder="1" applyAlignment="1" applyProtection="1">
      <alignment horizontal="center" vertical="top"/>
    </xf>
    <xf numFmtId="0" fontId="0" fillId="0" borderId="11" xfId="0" applyBorder="1" applyAlignment="1" applyProtection="1">
      <alignment vertical="top"/>
    </xf>
    <xf numFmtId="0" fontId="0" fillId="3" borderId="16" xfId="0" applyFill="1" applyBorder="1" applyAlignment="1" applyProtection="1">
      <alignment horizontal="left" vertical="top"/>
      <protection locked="0"/>
    </xf>
    <xf numFmtId="0" fontId="0" fillId="3" borderId="16" xfId="0" applyFill="1" applyBorder="1" applyAlignment="1" applyProtection="1">
      <alignment horizontal="left" vertical="top" wrapText="1"/>
      <protection locked="0"/>
    </xf>
    <xf numFmtId="0" fontId="17" fillId="0" borderId="0" xfId="2" applyProtection="1">
      <protection locked="0"/>
    </xf>
    <xf numFmtId="0" fontId="4" fillId="0" borderId="6" xfId="0" applyFont="1" applyBorder="1" applyAlignment="1" applyProtection="1">
      <alignment horizontal="center" vertical="top"/>
    </xf>
    <xf numFmtId="0" fontId="4" fillId="3" borderId="7" xfId="0" applyFont="1" applyFill="1" applyBorder="1" applyAlignment="1" applyProtection="1">
      <alignment horizontal="center" vertical="top"/>
    </xf>
    <xf numFmtId="0" fontId="30" fillId="0" borderId="0" xfId="0" applyFont="1" applyFill="1" applyAlignment="1">
      <alignment vertical="center" wrapText="1"/>
    </xf>
    <xf numFmtId="0" fontId="30" fillId="0" borderId="0" xfId="0" applyFont="1" applyBorder="1" applyAlignment="1">
      <alignment vertical="center"/>
    </xf>
    <xf numFmtId="0" fontId="0" fillId="0" borderId="0" xfId="0" applyAlignment="1">
      <alignment vertical="center"/>
    </xf>
    <xf numFmtId="0" fontId="22" fillId="0" borderId="31" xfId="0" applyFont="1" applyBorder="1" applyAlignment="1">
      <alignment vertical="center"/>
    </xf>
    <xf numFmtId="0" fontId="0" fillId="0" borderId="33" xfId="0" applyBorder="1" applyAlignment="1">
      <alignment vertical="center"/>
    </xf>
    <xf numFmtId="0" fontId="22" fillId="0" borderId="34" xfId="0" applyFont="1" applyBorder="1" applyAlignment="1">
      <alignment vertical="center"/>
    </xf>
    <xf numFmtId="0" fontId="0" fillId="0" borderId="35" xfId="0" applyBorder="1" applyAlignment="1">
      <alignment vertical="center"/>
    </xf>
    <xf numFmtId="0" fontId="22" fillId="0" borderId="38" xfId="0" applyFont="1" applyBorder="1" applyAlignment="1">
      <alignment vertical="center"/>
    </xf>
    <xf numFmtId="0" fontId="31" fillId="12" borderId="15" xfId="5" applyFont="1" applyFill="1" applyBorder="1" applyAlignment="1">
      <alignment vertical="center" wrapText="1"/>
    </xf>
    <xf numFmtId="0" fontId="31" fillId="12" borderId="15" xfId="0" applyFont="1" applyFill="1" applyBorder="1" applyAlignment="1">
      <alignment vertical="center" wrapText="1"/>
    </xf>
    <xf numFmtId="0" fontId="31" fillId="12" borderId="7" xfId="0" applyFont="1" applyFill="1" applyBorder="1" applyAlignment="1">
      <alignment vertical="center" wrapText="1"/>
    </xf>
    <xf numFmtId="0" fontId="30" fillId="11" borderId="14" xfId="0" applyFont="1" applyFill="1" applyBorder="1" applyAlignment="1">
      <alignment vertical="center" wrapText="1"/>
    </xf>
    <xf numFmtId="0" fontId="30" fillId="11" borderId="15" xfId="0" applyFont="1" applyFill="1" applyBorder="1" applyAlignment="1">
      <alignment vertical="center" wrapText="1"/>
    </xf>
    <xf numFmtId="0" fontId="30" fillId="11" borderId="7" xfId="0" applyFont="1" applyFill="1" applyBorder="1" applyAlignment="1">
      <alignment vertical="center" wrapText="1"/>
    </xf>
    <xf numFmtId="0" fontId="4" fillId="3" borderId="30" xfId="0" applyFont="1" applyFill="1" applyBorder="1" applyAlignment="1" applyProtection="1">
      <alignment vertical="top" wrapText="1"/>
    </xf>
    <xf numFmtId="0" fontId="34" fillId="0" borderId="53" xfId="0" applyFont="1" applyBorder="1" applyAlignment="1">
      <alignment horizontal="center" vertical="center"/>
    </xf>
    <xf numFmtId="166" fontId="36" fillId="19" borderId="54" xfId="0" applyNumberFormat="1" applyFont="1" applyFill="1" applyBorder="1" applyAlignment="1">
      <alignment horizontal="center" vertical="center" wrapText="1"/>
    </xf>
    <xf numFmtId="49" fontId="36" fillId="20" borderId="55" xfId="0" applyNumberFormat="1" applyFont="1" applyFill="1" applyBorder="1" applyAlignment="1">
      <alignment horizontal="center" vertical="center"/>
    </xf>
    <xf numFmtId="0" fontId="38" fillId="0" borderId="53" xfId="0" applyFont="1" applyBorder="1" applyAlignment="1">
      <alignment horizontal="left" vertical="center"/>
    </xf>
    <xf numFmtId="0" fontId="39" fillId="0" borderId="55" xfId="0" applyFont="1" applyBorder="1" applyAlignment="1">
      <alignment horizontal="center" vertical="center"/>
    </xf>
    <xf numFmtId="49" fontId="39" fillId="0" borderId="55" xfId="0" applyNumberFormat="1" applyFont="1" applyBorder="1" applyAlignment="1">
      <alignment horizontal="center" vertical="center"/>
    </xf>
    <xf numFmtId="49" fontId="36" fillId="0" borderId="55" xfId="0" applyNumberFormat="1" applyFont="1" applyBorder="1" applyAlignment="1">
      <alignment horizontal="center" vertical="center"/>
    </xf>
    <xf numFmtId="166" fontId="30" fillId="0" borderId="55" xfId="4" applyNumberFormat="1" applyFont="1" applyBorder="1" applyAlignment="1">
      <alignment horizontal="center"/>
    </xf>
    <xf numFmtId="0" fontId="39" fillId="0" borderId="55" xfId="0" applyFont="1" applyFill="1" applyBorder="1" applyAlignment="1">
      <alignment horizontal="center" vertical="center"/>
    </xf>
    <xf numFmtId="49" fontId="39" fillId="0" borderId="55" xfId="0" applyNumberFormat="1" applyFont="1" applyFill="1" applyBorder="1" applyAlignment="1">
      <alignment horizontal="center" vertical="center"/>
    </xf>
    <xf numFmtId="0" fontId="40" fillId="0" borderId="0" xfId="0" applyFont="1"/>
    <xf numFmtId="0" fontId="30" fillId="0" borderId="16" xfId="2" applyFont="1" applyBorder="1" applyAlignment="1" applyProtection="1">
      <alignment horizontal="left" vertical="top"/>
    </xf>
    <xf numFmtId="9" fontId="4" fillId="3" borderId="7" xfId="0" applyNumberFormat="1" applyFont="1" applyFill="1" applyBorder="1" applyAlignment="1" applyProtection="1">
      <alignment vertical="top"/>
      <protection locked="0"/>
    </xf>
    <xf numFmtId="168" fontId="4" fillId="6" borderId="8" xfId="0" applyNumberFormat="1" applyFont="1" applyFill="1" applyBorder="1" applyAlignment="1" applyProtection="1">
      <alignment horizontal="center" vertical="top"/>
    </xf>
    <xf numFmtId="10" fontId="4" fillId="4" borderId="8" xfId="0" applyNumberFormat="1" applyFont="1" applyFill="1" applyBorder="1" applyAlignment="1" applyProtection="1">
      <alignment horizontal="center" vertical="top"/>
    </xf>
    <xf numFmtId="10" fontId="25" fillId="6" borderId="8" xfId="0" applyNumberFormat="1" applyFont="1" applyFill="1" applyBorder="1" applyAlignment="1" applyProtection="1">
      <alignment horizontal="center" vertical="top"/>
    </xf>
    <xf numFmtId="9" fontId="4" fillId="4" borderId="8" xfId="3" applyFont="1" applyFill="1" applyBorder="1" applyAlignment="1">
      <alignment horizontal="center" vertical="top"/>
    </xf>
    <xf numFmtId="9" fontId="4" fillId="0" borderId="12" xfId="0" applyNumberFormat="1" applyFont="1" applyBorder="1" applyAlignment="1" applyProtection="1">
      <alignment vertical="top" wrapText="1"/>
    </xf>
    <xf numFmtId="0" fontId="8" fillId="0" borderId="8" xfId="0" applyFont="1" applyBorder="1" applyAlignment="1">
      <alignment horizontal="center" vertical="top" wrapText="1"/>
    </xf>
    <xf numFmtId="0" fontId="4" fillId="0" borderId="8" xfId="0" applyFont="1" applyBorder="1" applyAlignment="1">
      <alignment vertical="top" wrapText="1"/>
    </xf>
    <xf numFmtId="0" fontId="8" fillId="0" borderId="7" xfId="0" applyFont="1" applyBorder="1" applyAlignment="1">
      <alignment horizontal="center" vertical="top" wrapText="1"/>
    </xf>
    <xf numFmtId="3" fontId="0" fillId="0" borderId="0" xfId="0" applyNumberFormat="1" applyAlignment="1">
      <alignment vertical="top"/>
    </xf>
    <xf numFmtId="0" fontId="46" fillId="22" borderId="34" xfId="0" applyFont="1" applyFill="1" applyBorder="1" applyAlignment="1">
      <alignment horizontal="center" vertical="center"/>
    </xf>
    <xf numFmtId="0" fontId="46" fillId="22" borderId="38" xfId="0" applyFont="1" applyFill="1" applyBorder="1" applyAlignment="1">
      <alignment horizontal="center" vertical="center"/>
    </xf>
    <xf numFmtId="0" fontId="46" fillId="22" borderId="36" xfId="0" applyFont="1" applyFill="1" applyBorder="1" applyAlignment="1">
      <alignment horizontal="center" vertical="center"/>
    </xf>
    <xf numFmtId="0" fontId="46" fillId="22" borderId="39" xfId="0" applyFont="1" applyFill="1" applyBorder="1" applyAlignment="1">
      <alignment horizontal="center" vertical="center"/>
    </xf>
    <xf numFmtId="0" fontId="4" fillId="22" borderId="6" xfId="0" applyFont="1" applyFill="1" applyBorder="1" applyAlignment="1">
      <alignment horizontal="center" vertical="center"/>
    </xf>
    <xf numFmtId="0" fontId="4" fillId="22" borderId="33" xfId="0" applyFont="1" applyFill="1" applyBorder="1" applyAlignment="1">
      <alignment horizontal="center" vertical="top"/>
    </xf>
    <xf numFmtId="0" fontId="4" fillId="24" borderId="33" xfId="0" applyFont="1" applyFill="1" applyBorder="1" applyAlignment="1">
      <alignment horizontal="center" vertical="top"/>
    </xf>
    <xf numFmtId="0" fontId="4" fillId="4" borderId="12" xfId="0" applyFont="1" applyFill="1" applyBorder="1" applyAlignment="1">
      <alignment horizontal="center" vertical="top" wrapText="1"/>
    </xf>
    <xf numFmtId="0" fontId="3" fillId="22" borderId="8" xfId="0" applyFont="1" applyFill="1" applyBorder="1" applyAlignment="1">
      <alignment horizontal="center" vertical="center" wrapText="1"/>
    </xf>
    <xf numFmtId="0" fontId="4" fillId="22" borderId="7" xfId="0" applyFont="1" applyFill="1" applyBorder="1" applyAlignment="1">
      <alignment horizontal="center" vertical="center" wrapText="1"/>
    </xf>
    <xf numFmtId="0" fontId="4" fillId="22" borderId="8" xfId="0" applyFont="1" applyFill="1" applyBorder="1" applyAlignment="1">
      <alignment vertical="center" wrapText="1"/>
    </xf>
    <xf numFmtId="9" fontId="4" fillId="4" borderId="12" xfId="3" applyFont="1" applyFill="1" applyBorder="1" applyAlignment="1">
      <alignment horizontal="center" vertical="top" wrapText="1"/>
    </xf>
    <xf numFmtId="0" fontId="4" fillId="4" borderId="12" xfId="0" applyFont="1" applyFill="1" applyBorder="1" applyAlignment="1">
      <alignment horizontal="center" vertical="top" wrapText="1"/>
    </xf>
    <xf numFmtId="0" fontId="0" fillId="3" borderId="16" xfId="0" applyFill="1" applyBorder="1" applyAlignment="1" applyProtection="1">
      <alignment horizontal="center" vertical="center"/>
      <protection locked="0"/>
    </xf>
    <xf numFmtId="0" fontId="4" fillId="22" borderId="7" xfId="0" applyFont="1" applyFill="1" applyBorder="1" applyAlignment="1">
      <alignment horizontal="center" vertical="center"/>
    </xf>
    <xf numFmtId="0" fontId="46" fillId="22" borderId="16" xfId="0" applyFont="1" applyFill="1" applyBorder="1" applyAlignment="1">
      <alignment horizontal="center" vertical="center"/>
    </xf>
    <xf numFmtId="0" fontId="4" fillId="23" borderId="7" xfId="0" applyFont="1" applyFill="1" applyBorder="1" applyAlignment="1">
      <alignment horizontal="center" vertical="center"/>
    </xf>
    <xf numFmtId="0" fontId="46" fillId="23" borderId="16" xfId="0" applyFont="1" applyFill="1" applyBorder="1" applyAlignment="1">
      <alignment horizontal="center" vertical="center"/>
    </xf>
    <xf numFmtId="0" fontId="4" fillId="24" borderId="6" xfId="0" applyFont="1" applyFill="1" applyBorder="1" applyAlignment="1">
      <alignment horizontal="center" vertical="center"/>
    </xf>
    <xf numFmtId="0" fontId="46" fillId="24" borderId="35" xfId="0" applyFont="1" applyFill="1" applyBorder="1" applyAlignment="1">
      <alignment horizontal="center" vertical="center"/>
    </xf>
    <xf numFmtId="0" fontId="46" fillId="24" borderId="39" xfId="0" applyFont="1" applyFill="1" applyBorder="1" applyAlignment="1">
      <alignment horizontal="center" vertical="center"/>
    </xf>
    <xf numFmtId="0" fontId="4" fillId="23" borderId="8" xfId="0" applyFont="1" applyFill="1" applyBorder="1" applyAlignment="1">
      <alignment horizontal="center" vertical="center"/>
    </xf>
    <xf numFmtId="0" fontId="4" fillId="3" borderId="7" xfId="0" applyFont="1" applyFill="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4" fillId="22" borderId="8" xfId="0" applyFont="1" applyFill="1" applyBorder="1" applyAlignment="1">
      <alignment horizontal="center" vertical="center"/>
    </xf>
    <xf numFmtId="0" fontId="4" fillId="22" borderId="8" xfId="0" applyFont="1" applyFill="1" applyBorder="1" applyAlignment="1">
      <alignment horizontal="center" vertical="center" wrapText="1"/>
    </xf>
    <xf numFmtId="0" fontId="4" fillId="24" borderId="33" xfId="0" applyFont="1" applyFill="1" applyBorder="1" applyAlignment="1">
      <alignment horizontal="center" vertical="center"/>
    </xf>
    <xf numFmtId="0" fontId="4" fillId="3" borderId="8" xfId="0" applyFont="1" applyFill="1" applyBorder="1" applyAlignment="1" applyProtection="1">
      <alignment vertical="top" wrapText="1"/>
      <protection locked="0"/>
    </xf>
    <xf numFmtId="0" fontId="4" fillId="0" borderId="8" xfId="0" applyFont="1" applyBorder="1" applyAlignment="1">
      <alignment horizontal="center" vertical="center" wrapText="1"/>
    </xf>
    <xf numFmtId="0" fontId="4" fillId="3" borderId="7" xfId="0" applyFont="1" applyFill="1" applyBorder="1" applyAlignment="1" applyProtection="1">
      <alignment horizontal="center" vertical="center" wrapText="1"/>
      <protection locked="0"/>
    </xf>
    <xf numFmtId="3" fontId="4" fillId="3" borderId="7" xfId="0" applyNumberFormat="1" applyFont="1" applyFill="1" applyBorder="1" applyAlignment="1" applyProtection="1">
      <alignment horizontal="right" vertical="top" wrapText="1"/>
      <protection locked="0"/>
    </xf>
    <xf numFmtId="0" fontId="4" fillId="3" borderId="11" xfId="0" applyFont="1" applyFill="1" applyBorder="1" applyAlignment="1" applyProtection="1">
      <alignment horizontal="justify" vertical="top" wrapText="1"/>
      <protection locked="0"/>
    </xf>
    <xf numFmtId="0" fontId="4" fillId="3" borderId="8" xfId="0" applyFont="1" applyFill="1" applyBorder="1" applyAlignment="1" applyProtection="1">
      <alignment horizontal="justify" vertical="top" wrapText="1"/>
      <protection locked="0"/>
    </xf>
    <xf numFmtId="0" fontId="4" fillId="0" borderId="0" xfId="0" applyFont="1" applyBorder="1" applyAlignment="1" applyProtection="1">
      <alignment horizontal="right" vertical="top" wrapText="1"/>
    </xf>
    <xf numFmtId="0" fontId="4" fillId="0" borderId="8" xfId="0" applyFont="1" applyBorder="1" applyAlignment="1" applyProtection="1">
      <alignment vertical="top" wrapText="1"/>
    </xf>
    <xf numFmtId="0" fontId="0" fillId="0" borderId="0" xfId="0" applyAlignment="1" applyProtection="1">
      <alignment vertical="top" wrapText="1"/>
    </xf>
    <xf numFmtId="0" fontId="4" fillId="0" borderId="13" xfId="0" applyFont="1" applyBorder="1" applyAlignment="1">
      <alignment vertical="top" wrapText="1"/>
    </xf>
    <xf numFmtId="0" fontId="3" fillId="0" borderId="6" xfId="0" applyFont="1" applyBorder="1" applyAlignment="1">
      <alignment vertical="top" wrapText="1"/>
    </xf>
    <xf numFmtId="0" fontId="4" fillId="0" borderId="7" xfId="0" applyFont="1" applyBorder="1" applyAlignment="1">
      <alignment vertical="top" wrapText="1"/>
    </xf>
    <xf numFmtId="0" fontId="4" fillId="0" borderId="0" xfId="0" applyFont="1" applyAlignment="1">
      <alignment vertical="top" wrapText="1"/>
    </xf>
    <xf numFmtId="0" fontId="4" fillId="0" borderId="6" xfId="0" applyFont="1" applyBorder="1" applyAlignment="1">
      <alignment vertical="top" wrapText="1"/>
    </xf>
    <xf numFmtId="0" fontId="4" fillId="0" borderId="8" xfId="0" applyFont="1" applyBorder="1" applyAlignment="1">
      <alignment vertical="top" wrapText="1"/>
    </xf>
    <xf numFmtId="0" fontId="4" fillId="0" borderId="8" xfId="0" applyFont="1" applyBorder="1" applyAlignment="1">
      <alignment horizontal="center" vertical="top" wrapText="1"/>
    </xf>
    <xf numFmtId="0" fontId="4" fillId="0" borderId="7" xfId="0" applyFont="1" applyBorder="1" applyAlignment="1">
      <alignment horizontal="center" vertical="top" wrapText="1"/>
    </xf>
    <xf numFmtId="0" fontId="3" fillId="0" borderId="1" xfId="0" applyFont="1" applyBorder="1" applyAlignment="1">
      <alignment vertical="top" wrapText="1"/>
    </xf>
    <xf numFmtId="0" fontId="4" fillId="0" borderId="0" xfId="0" applyFont="1" applyBorder="1" applyAlignment="1">
      <alignment vertical="top" wrapText="1"/>
    </xf>
    <xf numFmtId="0" fontId="4" fillId="0" borderId="14"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3" fillId="3" borderId="7" xfId="0" applyFont="1" applyFill="1" applyBorder="1" applyAlignment="1" applyProtection="1">
      <alignment horizontal="center" vertical="center"/>
      <protection locked="0"/>
    </xf>
    <xf numFmtId="0" fontId="17" fillId="3" borderId="8" xfId="2" applyFill="1" applyBorder="1" applyAlignment="1" applyProtection="1">
      <alignment horizontal="left" vertical="top" wrapText="1"/>
      <protection locked="0"/>
    </xf>
    <xf numFmtId="0" fontId="4" fillId="5" borderId="8" xfId="0" applyFont="1" applyFill="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17" fillId="3" borderId="8" xfId="2" applyFill="1" applyBorder="1" applyAlignment="1" applyProtection="1">
      <alignment vertical="top" wrapText="1"/>
      <protection locked="0"/>
    </xf>
    <xf numFmtId="3" fontId="4" fillId="3" borderId="7" xfId="0" applyNumberFormat="1" applyFont="1" applyFill="1" applyBorder="1" applyAlignment="1" applyProtection="1">
      <alignment horizontal="center" vertical="center"/>
      <protection locked="0"/>
    </xf>
    <xf numFmtId="3" fontId="4" fillId="3" borderId="8" xfId="0" applyNumberFormat="1" applyFont="1" applyFill="1" applyBorder="1" applyAlignment="1" applyProtection="1">
      <alignment horizontal="center" vertical="center"/>
      <protection locked="0"/>
    </xf>
    <xf numFmtId="3" fontId="4" fillId="4" borderId="8" xfId="0" applyNumberFormat="1" applyFont="1" applyFill="1" applyBorder="1" applyAlignment="1" applyProtection="1">
      <alignment vertical="center"/>
    </xf>
    <xf numFmtId="3" fontId="4" fillId="4" borderId="8" xfId="0" applyNumberFormat="1" applyFont="1" applyFill="1" applyBorder="1" applyAlignment="1" applyProtection="1">
      <alignment horizontal="center" vertical="center"/>
    </xf>
    <xf numFmtId="0" fontId="4" fillId="0" borderId="4" xfId="0" applyFont="1" applyBorder="1" applyAlignment="1" applyProtection="1">
      <alignment vertical="top"/>
    </xf>
    <xf numFmtId="0" fontId="4" fillId="3" borderId="7" xfId="0" applyFont="1" applyFill="1" applyBorder="1" applyAlignment="1" applyProtection="1">
      <alignment vertical="top" wrapText="1"/>
      <protection locked="0"/>
    </xf>
    <xf numFmtId="0" fontId="0" fillId="0" borderId="0" xfId="0" applyAlignment="1">
      <alignment wrapText="1"/>
    </xf>
    <xf numFmtId="0" fontId="30" fillId="0" borderId="0" xfId="0" applyFont="1" applyBorder="1" applyAlignment="1">
      <alignment vertical="center" wrapText="1"/>
    </xf>
    <xf numFmtId="0" fontId="0" fillId="0" borderId="0" xfId="0" applyAlignment="1" applyProtection="1">
      <alignment wrapText="1"/>
    </xf>
    <xf numFmtId="0" fontId="4" fillId="0" borderId="0" xfId="0" applyFont="1" applyAlignment="1">
      <alignment horizontal="center" vertical="top" wrapText="1"/>
    </xf>
    <xf numFmtId="0" fontId="0" fillId="0" borderId="0" xfId="0" applyAlignment="1">
      <alignment vertical="top" wrapText="1"/>
    </xf>
    <xf numFmtId="0" fontId="0" fillId="3" borderId="16" xfId="0" applyFill="1" applyBorder="1" applyAlignment="1">
      <alignment vertical="top" wrapText="1"/>
    </xf>
    <xf numFmtId="0" fontId="20" fillId="0" borderId="0" xfId="0" applyFont="1" applyBorder="1" applyAlignment="1">
      <alignment vertical="top" wrapText="1"/>
    </xf>
    <xf numFmtId="0" fontId="0" fillId="7" borderId="16" xfId="0" applyFill="1" applyBorder="1" applyAlignment="1">
      <alignment vertical="top" wrapText="1"/>
    </xf>
    <xf numFmtId="0" fontId="4" fillId="0" borderId="0" xfId="0" applyFont="1" applyAlignment="1">
      <alignment horizontal="right" vertical="top" wrapText="1"/>
    </xf>
    <xf numFmtId="0" fontId="23" fillId="6" borderId="18" xfId="0" applyFont="1" applyFill="1" applyBorder="1" applyAlignment="1">
      <alignment vertical="top" wrapText="1"/>
    </xf>
    <xf numFmtId="9" fontId="0" fillId="6" borderId="12" xfId="0" applyNumberFormat="1" applyFill="1" applyBorder="1" applyAlignment="1">
      <alignment horizontal="center" vertical="top" wrapText="1"/>
    </xf>
    <xf numFmtId="0" fontId="0" fillId="6" borderId="20" xfId="0" applyFill="1" applyBorder="1" applyAlignment="1">
      <alignment vertical="top" wrapText="1"/>
    </xf>
    <xf numFmtId="0" fontId="17" fillId="0" borderId="0" xfId="2" applyFill="1" applyAlignment="1">
      <alignment wrapText="1"/>
    </xf>
    <xf numFmtId="0" fontId="7" fillId="0" borderId="0" xfId="0" applyFont="1" applyAlignment="1">
      <alignment horizontal="center" vertical="top" wrapText="1"/>
    </xf>
    <xf numFmtId="0" fontId="0" fillId="0" borderId="0" xfId="0" applyFill="1" applyBorder="1" applyAlignment="1">
      <alignment vertical="top" wrapText="1"/>
    </xf>
    <xf numFmtId="0" fontId="17" fillId="0" borderId="0" xfId="2" applyFill="1" applyBorder="1" applyAlignment="1">
      <alignment wrapText="1"/>
    </xf>
    <xf numFmtId="0" fontId="7" fillId="0" borderId="0" xfId="0" applyFont="1" applyBorder="1" applyAlignment="1" applyProtection="1">
      <alignment horizontal="center" vertical="top" wrapText="1"/>
    </xf>
    <xf numFmtId="0" fontId="7" fillId="0" borderId="0" xfId="0" applyFont="1" applyAlignment="1" applyProtection="1">
      <alignment horizontal="center" vertical="top" wrapText="1"/>
    </xf>
    <xf numFmtId="9" fontId="0" fillId="0" borderId="0" xfId="3" applyFont="1" applyAlignment="1">
      <alignment wrapText="1"/>
    </xf>
    <xf numFmtId="9" fontId="4" fillId="0" borderId="16" xfId="0" applyNumberFormat="1" applyFont="1" applyFill="1" applyBorder="1" applyAlignment="1" applyProtection="1">
      <alignment horizontal="center" vertical="top" wrapText="1"/>
      <protection locked="0"/>
    </xf>
    <xf numFmtId="3" fontId="4" fillId="6" borderId="13" xfId="0" applyNumberFormat="1" applyFont="1" applyFill="1" applyBorder="1" applyAlignment="1">
      <alignment horizontal="right" vertical="top" wrapText="1"/>
    </xf>
    <xf numFmtId="3" fontId="4" fillId="0" borderId="8" xfId="0" applyNumberFormat="1" applyFont="1" applyFill="1" applyBorder="1" applyAlignment="1">
      <alignment vertical="top" wrapText="1"/>
    </xf>
    <xf numFmtId="9" fontId="4" fillId="3" borderId="16" xfId="0" applyNumberFormat="1" applyFont="1" applyFill="1" applyBorder="1" applyAlignment="1" applyProtection="1">
      <alignment horizontal="center" vertical="top" wrapText="1"/>
      <protection locked="0"/>
    </xf>
    <xf numFmtId="3" fontId="4" fillId="4" borderId="16" xfId="0" applyNumberFormat="1" applyFont="1" applyFill="1" applyBorder="1" applyAlignment="1">
      <alignment horizontal="right" vertical="top" wrapText="1"/>
    </xf>
    <xf numFmtId="3" fontId="4" fillId="4" borderId="13" xfId="0" applyNumberFormat="1" applyFont="1" applyFill="1" applyBorder="1" applyAlignment="1">
      <alignment horizontal="right" vertical="top" wrapText="1"/>
    </xf>
    <xf numFmtId="9" fontId="4" fillId="4" borderId="16" xfId="3" applyFont="1" applyFill="1" applyBorder="1" applyAlignment="1">
      <alignment horizontal="right" vertical="top" wrapText="1"/>
    </xf>
    <xf numFmtId="3" fontId="4" fillId="3" borderId="16" xfId="0" applyNumberFormat="1" applyFont="1" applyFill="1" applyBorder="1" applyAlignment="1" applyProtection="1">
      <alignment vertical="top" wrapText="1"/>
      <protection locked="0"/>
    </xf>
    <xf numFmtId="9" fontId="4" fillId="3" borderId="20" xfId="0" applyNumberFormat="1" applyFont="1" applyFill="1" applyBorder="1" applyAlignment="1" applyProtection="1">
      <alignment horizontal="right" vertical="top" wrapText="1"/>
      <protection locked="0"/>
    </xf>
    <xf numFmtId="0" fontId="0" fillId="0" borderId="0" xfId="0" applyAlignment="1">
      <alignment horizontal="center" vertical="top" wrapText="1"/>
    </xf>
    <xf numFmtId="0" fontId="4" fillId="0" borderId="14" xfId="0" applyFont="1" applyBorder="1" applyAlignment="1">
      <alignment vertical="top" wrapText="1"/>
    </xf>
    <xf numFmtId="0" fontId="4" fillId="0" borderId="14" xfId="0" applyFont="1" applyBorder="1" applyAlignment="1" applyProtection="1">
      <alignment vertical="top" wrapText="1"/>
      <protection locked="0"/>
    </xf>
    <xf numFmtId="0" fontId="4" fillId="3" borderId="8" xfId="0" applyFont="1" applyFill="1" applyBorder="1" applyAlignment="1">
      <alignment horizontal="left" vertical="top" wrapText="1"/>
    </xf>
    <xf numFmtId="0" fontId="4" fillId="0" borderId="14" xfId="0" applyFont="1" applyBorder="1" applyAlignment="1">
      <alignment horizontal="left" vertical="top" wrapText="1"/>
    </xf>
    <xf numFmtId="0" fontId="4" fillId="0" borderId="14" xfId="0" applyFont="1" applyBorder="1" applyAlignment="1" applyProtection="1">
      <alignment horizontal="left" vertical="top" wrapText="1"/>
      <protection locked="0"/>
    </xf>
    <xf numFmtId="0" fontId="4" fillId="7" borderId="8" xfId="0" applyFont="1" applyFill="1" applyBorder="1" applyAlignment="1" applyProtection="1">
      <alignment horizontal="left" vertical="top" wrapText="1"/>
      <protection locked="0"/>
    </xf>
    <xf numFmtId="3" fontId="4" fillId="4" borderId="8" xfId="0" applyNumberFormat="1" applyFont="1" applyFill="1" applyBorder="1" applyAlignment="1" applyProtection="1">
      <alignment vertical="top" wrapText="1"/>
      <protection locked="0"/>
    </xf>
    <xf numFmtId="0" fontId="4" fillId="0" borderId="14" xfId="0" applyFont="1" applyBorder="1" applyAlignment="1" applyProtection="1">
      <alignment vertical="top" wrapText="1"/>
      <protection locked="0"/>
    </xf>
    <xf numFmtId="49" fontId="36" fillId="19" borderId="54" xfId="0" applyNumberFormat="1" applyFont="1" applyFill="1" applyBorder="1" applyAlignment="1">
      <alignment horizontal="center" vertical="center" wrapText="1"/>
    </xf>
    <xf numFmtId="0" fontId="30" fillId="0" borderId="0" xfId="5" applyFont="1" applyAlignment="1">
      <alignment vertical="center" wrapText="1"/>
    </xf>
    <xf numFmtId="0" fontId="30" fillId="0" borderId="0" xfId="5" applyFont="1" applyAlignment="1">
      <alignment vertical="center"/>
    </xf>
    <xf numFmtId="0" fontId="33" fillId="12" borderId="14" xfId="5" applyFont="1" applyFill="1" applyBorder="1" applyAlignment="1">
      <alignment vertical="center" wrapText="1"/>
    </xf>
    <xf numFmtId="0" fontId="33" fillId="12" borderId="15" xfId="5" applyFont="1" applyFill="1" applyBorder="1" applyAlignment="1">
      <alignment vertical="center" wrapText="1"/>
    </xf>
    <xf numFmtId="0" fontId="33" fillId="12" borderId="15" xfId="5" applyFont="1" applyFill="1" applyBorder="1" applyAlignment="1">
      <alignment horizontal="center" vertical="center" wrapText="1"/>
    </xf>
    <xf numFmtId="0" fontId="33" fillId="12" borderId="15" xfId="5" applyFont="1" applyFill="1" applyBorder="1" applyAlignment="1">
      <alignment horizontal="right" vertical="center" wrapText="1"/>
    </xf>
    <xf numFmtId="9" fontId="33" fillId="12" borderId="15" xfId="3" applyFont="1" applyFill="1" applyBorder="1" applyAlignment="1">
      <alignment horizontal="center" vertical="center" wrapText="1"/>
    </xf>
    <xf numFmtId="0" fontId="33" fillId="12" borderId="7" xfId="5" applyFont="1" applyFill="1" applyBorder="1" applyAlignment="1">
      <alignment vertical="center" wrapText="1"/>
    </xf>
    <xf numFmtId="0" fontId="33" fillId="15" borderId="1" xfId="5" applyFont="1" applyFill="1" applyBorder="1" applyAlignment="1">
      <alignment vertical="center" wrapText="1"/>
    </xf>
    <xf numFmtId="0" fontId="33" fillId="15" borderId="12" xfId="5" applyFont="1" applyFill="1" applyBorder="1" applyAlignment="1">
      <alignment horizontal="center" vertical="center" wrapText="1"/>
    </xf>
    <xf numFmtId="0" fontId="30" fillId="0" borderId="0" xfId="5" applyFont="1" applyAlignment="1">
      <alignment horizontal="center" vertical="center" wrapText="1"/>
    </xf>
    <xf numFmtId="0" fontId="33" fillId="15" borderId="13" xfId="5" applyFont="1" applyFill="1" applyBorder="1" applyAlignment="1">
      <alignment vertical="center" wrapText="1"/>
    </xf>
    <xf numFmtId="0" fontId="33" fillId="15" borderId="15" xfId="5" applyFont="1" applyFill="1" applyBorder="1" applyAlignment="1">
      <alignment horizontal="center" vertical="center" wrapText="1"/>
    </xf>
    <xf numFmtId="0" fontId="33" fillId="15" borderId="14" xfId="5" applyFont="1" applyFill="1" applyBorder="1" applyAlignment="1">
      <alignment horizontal="center" vertical="center" wrapText="1"/>
    </xf>
    <xf numFmtId="0" fontId="33" fillId="17" borderId="12" xfId="5" applyFont="1" applyFill="1" applyBorder="1" applyAlignment="1">
      <alignment horizontal="center" vertical="center" wrapText="1"/>
    </xf>
    <xf numFmtId="0" fontId="33" fillId="17" borderId="8" xfId="5" applyFont="1" applyFill="1" applyBorder="1" applyAlignment="1">
      <alignment horizontal="center" vertical="center" wrapText="1"/>
    </xf>
    <xf numFmtId="0" fontId="33" fillId="27" borderId="40" xfId="0" applyFont="1" applyFill="1" applyBorder="1" applyAlignment="1">
      <alignment vertical="center" wrapText="1"/>
    </xf>
    <xf numFmtId="3" fontId="33" fillId="28" borderId="50" xfId="5" applyNumberFormat="1" applyFont="1" applyFill="1" applyBorder="1" applyAlignment="1">
      <alignment vertical="center" wrapText="1"/>
    </xf>
    <xf numFmtId="1" fontId="33" fillId="28" borderId="25" xfId="5" applyNumberFormat="1" applyFont="1" applyFill="1" applyBorder="1" applyAlignment="1">
      <alignment horizontal="center" vertical="center" wrapText="1"/>
    </xf>
    <xf numFmtId="1" fontId="33" fillId="28" borderId="42" xfId="5" applyNumberFormat="1" applyFont="1" applyFill="1" applyBorder="1" applyAlignment="1">
      <alignment horizontal="center" vertical="center" wrapText="1"/>
    </xf>
    <xf numFmtId="1" fontId="33" fillId="28" borderId="41" xfId="5" applyNumberFormat="1" applyFont="1" applyFill="1" applyBorder="1" applyAlignment="1">
      <alignment horizontal="center" vertical="center" wrapText="1"/>
    </xf>
    <xf numFmtId="168" fontId="33" fillId="28" borderId="50" xfId="3" applyNumberFormat="1" applyFont="1" applyFill="1" applyBorder="1" applyAlignment="1">
      <alignment horizontal="center" vertical="center" wrapText="1"/>
    </xf>
    <xf numFmtId="0" fontId="33" fillId="28" borderId="9" xfId="5" applyFont="1" applyFill="1" applyBorder="1" applyAlignment="1">
      <alignment horizontal="center" vertical="center" wrapText="1"/>
    </xf>
    <xf numFmtId="0" fontId="33" fillId="28" borderId="2" xfId="5" applyFont="1" applyFill="1" applyBorder="1" applyAlignment="1">
      <alignment horizontal="center" vertical="center" wrapText="1"/>
    </xf>
    <xf numFmtId="0" fontId="33" fillId="28" borderId="1" xfId="5" applyFont="1" applyFill="1" applyBorder="1" applyAlignment="1">
      <alignment horizontal="center" vertical="center" wrapText="1"/>
    </xf>
    <xf numFmtId="15" fontId="33" fillId="28" borderId="9" xfId="5" applyNumberFormat="1" applyFont="1" applyFill="1" applyBorder="1" applyAlignment="1">
      <alignment horizontal="center" vertical="center" wrapText="1"/>
    </xf>
    <xf numFmtId="10" fontId="33" fillId="28" borderId="5" xfId="3" applyNumberFormat="1" applyFont="1" applyFill="1" applyBorder="1" applyAlignment="1">
      <alignment horizontal="right" vertical="center" wrapText="1"/>
    </xf>
    <xf numFmtId="3" fontId="33" fillId="28" borderId="41" xfId="5" applyNumberFormat="1" applyFont="1" applyFill="1" applyBorder="1" applyAlignment="1">
      <alignment horizontal="center" vertical="center" wrapText="1"/>
    </xf>
    <xf numFmtId="3" fontId="33" fillId="28" borderId="42" xfId="5" applyNumberFormat="1" applyFont="1" applyFill="1" applyBorder="1" applyAlignment="1">
      <alignment horizontal="center" vertical="center" wrapText="1"/>
    </xf>
    <xf numFmtId="168" fontId="33" fillId="3" borderId="25" xfId="3" applyNumberFormat="1" applyFont="1" applyFill="1" applyBorder="1" applyAlignment="1">
      <alignment horizontal="center" vertical="center" wrapText="1"/>
    </xf>
    <xf numFmtId="9" fontId="33" fillId="28" borderId="40" xfId="3" applyFont="1" applyFill="1" applyBorder="1" applyAlignment="1">
      <alignment horizontal="center" vertical="center" wrapText="1"/>
    </xf>
    <xf numFmtId="9" fontId="33" fillId="28" borderId="42" xfId="3" applyFont="1" applyFill="1" applyBorder="1" applyAlignment="1">
      <alignment horizontal="center" vertical="center" wrapText="1"/>
    </xf>
    <xf numFmtId="3" fontId="33" fillId="28" borderId="66" xfId="5" applyNumberFormat="1" applyFont="1" applyFill="1" applyBorder="1" applyAlignment="1">
      <alignment vertical="center" wrapText="1"/>
    </xf>
    <xf numFmtId="10" fontId="33" fillId="28" borderId="42" xfId="3" applyNumberFormat="1" applyFont="1" applyFill="1" applyBorder="1" applyAlignment="1">
      <alignment horizontal="right" vertical="center" wrapText="1"/>
    </xf>
    <xf numFmtId="9" fontId="33" fillId="28" borderId="41" xfId="3" applyFont="1" applyFill="1" applyBorder="1" applyAlignment="1">
      <alignment horizontal="center" vertical="center" wrapText="1"/>
    </xf>
    <xf numFmtId="165" fontId="33" fillId="28" borderId="50" xfId="4" applyNumberFormat="1" applyFont="1" applyFill="1" applyBorder="1" applyAlignment="1">
      <alignment vertical="center" wrapText="1"/>
    </xf>
    <xf numFmtId="9" fontId="33" fillId="28" borderId="50" xfId="3" applyFont="1" applyFill="1" applyBorder="1" applyAlignment="1">
      <alignment horizontal="center" vertical="center" wrapText="1"/>
    </xf>
    <xf numFmtId="3" fontId="33" fillId="28" borderId="25" xfId="5" applyNumberFormat="1" applyFont="1" applyFill="1" applyBorder="1" applyAlignment="1">
      <alignment vertical="center" wrapText="1"/>
    </xf>
    <xf numFmtId="3" fontId="33" fillId="28" borderId="45" xfId="5" applyNumberFormat="1" applyFont="1" applyFill="1" applyBorder="1" applyAlignment="1">
      <alignment vertical="center" wrapText="1"/>
    </xf>
    <xf numFmtId="3" fontId="33" fillId="28" borderId="30" xfId="5" applyNumberFormat="1" applyFont="1" applyFill="1" applyBorder="1" applyAlignment="1">
      <alignment vertical="center" wrapText="1"/>
    </xf>
    <xf numFmtId="3" fontId="33" fillId="28" borderId="24" xfId="5" applyNumberFormat="1" applyFont="1" applyFill="1" applyBorder="1" applyAlignment="1">
      <alignment vertical="center" wrapText="1"/>
    </xf>
    <xf numFmtId="0" fontId="33" fillId="28" borderId="42" xfId="5" applyFont="1" applyFill="1" applyBorder="1" applyAlignment="1">
      <alignment vertical="center" wrapText="1"/>
    </xf>
    <xf numFmtId="0" fontId="33" fillId="29" borderId="43" xfId="0" applyFont="1" applyFill="1" applyBorder="1" applyAlignment="1">
      <alignment vertical="center" wrapText="1"/>
    </xf>
    <xf numFmtId="3" fontId="30" fillId="30" borderId="44" xfId="5" applyNumberFormat="1" applyFont="1" applyFill="1" applyBorder="1" applyAlignment="1">
      <alignment vertical="center" wrapText="1"/>
    </xf>
    <xf numFmtId="1" fontId="30" fillId="30" borderId="19" xfId="5" applyNumberFormat="1" applyFont="1" applyFill="1" applyBorder="1" applyAlignment="1">
      <alignment horizontal="center" vertical="center" wrapText="1"/>
    </xf>
    <xf numFmtId="1" fontId="30" fillId="30" borderId="44" xfId="5" applyNumberFormat="1" applyFont="1" applyFill="1" applyBorder="1" applyAlignment="1">
      <alignment horizontal="center" vertical="center" wrapText="1"/>
    </xf>
    <xf numFmtId="1" fontId="30" fillId="30" borderId="43" xfId="5" applyNumberFormat="1" applyFont="1" applyFill="1" applyBorder="1" applyAlignment="1">
      <alignment horizontal="center" vertical="center" wrapText="1"/>
    </xf>
    <xf numFmtId="9" fontId="33" fillId="30" borderId="44" xfId="3" applyFont="1" applyFill="1" applyBorder="1" applyAlignment="1">
      <alignment horizontal="center" vertical="center" wrapText="1"/>
    </xf>
    <xf numFmtId="3" fontId="30" fillId="30" borderId="43" xfId="5" applyNumberFormat="1" applyFont="1" applyFill="1" applyBorder="1" applyAlignment="1">
      <alignment vertical="center" wrapText="1"/>
    </xf>
    <xf numFmtId="168" fontId="30" fillId="30" borderId="44" xfId="3" applyNumberFormat="1" applyFont="1" applyFill="1" applyBorder="1" applyAlignment="1">
      <alignment vertical="center" wrapText="1"/>
    </xf>
    <xf numFmtId="3" fontId="30" fillId="30" borderId="43" xfId="5" applyNumberFormat="1" applyFont="1" applyFill="1" applyBorder="1" applyAlignment="1">
      <alignment horizontal="center" vertical="center" wrapText="1"/>
    </xf>
    <xf numFmtId="3" fontId="30" fillId="30" borderId="44" xfId="5" applyNumberFormat="1" applyFont="1" applyFill="1" applyBorder="1" applyAlignment="1">
      <alignment horizontal="center" vertical="center" wrapText="1"/>
    </xf>
    <xf numFmtId="9" fontId="33" fillId="3" borderId="44" xfId="3" applyFont="1" applyFill="1" applyBorder="1" applyAlignment="1">
      <alignment horizontal="center" vertical="center" wrapText="1"/>
    </xf>
    <xf numFmtId="9" fontId="33" fillId="30" borderId="43" xfId="3" applyFont="1" applyFill="1" applyBorder="1" applyAlignment="1">
      <alignment horizontal="center" vertical="center" wrapText="1"/>
    </xf>
    <xf numFmtId="3" fontId="33" fillId="30" borderId="67" xfId="5" applyNumberFormat="1" applyFont="1" applyFill="1" applyBorder="1" applyAlignment="1">
      <alignment vertical="center" wrapText="1"/>
    </xf>
    <xf numFmtId="10" fontId="33" fillId="30" borderId="44" xfId="3" applyNumberFormat="1" applyFont="1" applyFill="1" applyBorder="1" applyAlignment="1">
      <alignment horizontal="right" vertical="center" wrapText="1"/>
    </xf>
    <xf numFmtId="165" fontId="33" fillId="30" borderId="43" xfId="4" applyNumberFormat="1" applyFont="1" applyFill="1" applyBorder="1" applyAlignment="1">
      <alignment vertical="center" wrapText="1"/>
    </xf>
    <xf numFmtId="9" fontId="30" fillId="30" borderId="50" xfId="3" applyFont="1" applyFill="1" applyBorder="1" applyAlignment="1">
      <alignment horizontal="center" vertical="center" wrapText="1"/>
    </xf>
    <xf numFmtId="3" fontId="33" fillId="30" borderId="19" xfId="5" applyNumberFormat="1" applyFont="1" applyFill="1" applyBorder="1" applyAlignment="1">
      <alignment vertical="center" wrapText="1"/>
    </xf>
    <xf numFmtId="3" fontId="33" fillId="30" borderId="34" xfId="5" applyNumberFormat="1" applyFont="1" applyFill="1" applyBorder="1" applyAlignment="1">
      <alignment vertical="center" wrapText="1"/>
    </xf>
    <xf numFmtId="3" fontId="33" fillId="30" borderId="16" xfId="5" applyNumberFormat="1" applyFont="1" applyFill="1" applyBorder="1" applyAlignment="1">
      <alignment vertical="center" wrapText="1"/>
    </xf>
    <xf numFmtId="3" fontId="33" fillId="30" borderId="18" xfId="5" applyNumberFormat="1" applyFont="1" applyFill="1" applyBorder="1" applyAlignment="1">
      <alignment vertical="center" wrapText="1"/>
    </xf>
    <xf numFmtId="0" fontId="30" fillId="30" borderId="44" xfId="5" applyFont="1" applyFill="1" applyBorder="1" applyAlignment="1">
      <alignment vertical="center" wrapText="1"/>
    </xf>
    <xf numFmtId="0" fontId="33" fillId="31" borderId="43" xfId="0" applyFont="1" applyFill="1" applyBorder="1" applyAlignment="1">
      <alignment vertical="center" wrapText="1"/>
    </xf>
    <xf numFmtId="3" fontId="33" fillId="32" borderId="44" xfId="5" applyNumberFormat="1" applyFont="1" applyFill="1" applyBorder="1" applyAlignment="1">
      <alignment vertical="center" wrapText="1"/>
    </xf>
    <xf numFmtId="1" fontId="33" fillId="32" borderId="19" xfId="5" applyNumberFormat="1" applyFont="1" applyFill="1" applyBorder="1" applyAlignment="1">
      <alignment horizontal="center" vertical="center" wrapText="1"/>
    </xf>
    <xf numFmtId="1" fontId="33" fillId="32" borderId="44" xfId="5" applyNumberFormat="1" applyFont="1" applyFill="1" applyBorder="1" applyAlignment="1">
      <alignment horizontal="center" vertical="center" wrapText="1"/>
    </xf>
    <xf numFmtId="1" fontId="33" fillId="32" borderId="43" xfId="5" applyNumberFormat="1" applyFont="1" applyFill="1" applyBorder="1" applyAlignment="1">
      <alignment horizontal="center" vertical="center" wrapText="1"/>
    </xf>
    <xf numFmtId="168" fontId="33" fillId="32" borderId="44" xfId="3" applyNumberFormat="1" applyFont="1" applyFill="1" applyBorder="1" applyAlignment="1">
      <alignment horizontal="center" vertical="center" wrapText="1"/>
    </xf>
    <xf numFmtId="9" fontId="33" fillId="32" borderId="44" xfId="3" applyFont="1" applyFill="1" applyBorder="1" applyAlignment="1">
      <alignment horizontal="center" vertical="center" wrapText="1"/>
    </xf>
    <xf numFmtId="3" fontId="33" fillId="32" borderId="43" xfId="5" applyNumberFormat="1" applyFont="1" applyFill="1" applyBorder="1" applyAlignment="1">
      <alignment vertical="center" wrapText="1"/>
    </xf>
    <xf numFmtId="10" fontId="33" fillId="32" borderId="44" xfId="3" applyNumberFormat="1" applyFont="1" applyFill="1" applyBorder="1" applyAlignment="1">
      <alignment vertical="center" wrapText="1"/>
    </xf>
    <xf numFmtId="3" fontId="33" fillId="32" borderId="43" xfId="5" applyNumberFormat="1" applyFont="1" applyFill="1" applyBorder="1" applyAlignment="1">
      <alignment horizontal="center" vertical="center" wrapText="1"/>
    </xf>
    <xf numFmtId="3" fontId="33" fillId="32" borderId="44" xfId="5" applyNumberFormat="1" applyFont="1" applyFill="1" applyBorder="1" applyAlignment="1">
      <alignment horizontal="center" vertical="center" wrapText="1"/>
    </xf>
    <xf numFmtId="9" fontId="33" fillId="32" borderId="46" xfId="3" applyFont="1" applyFill="1" applyBorder="1" applyAlignment="1">
      <alignment horizontal="center" vertical="center" wrapText="1"/>
    </xf>
    <xf numFmtId="3" fontId="33" fillId="32" borderId="67" xfId="5" applyNumberFormat="1" applyFont="1" applyFill="1" applyBorder="1" applyAlignment="1">
      <alignment vertical="center" wrapText="1"/>
    </xf>
    <xf numFmtId="10" fontId="33" fillId="32" borderId="44" xfId="3" applyNumberFormat="1" applyFont="1" applyFill="1" applyBorder="1" applyAlignment="1">
      <alignment horizontal="right" vertical="center" wrapText="1"/>
    </xf>
    <xf numFmtId="9" fontId="33" fillId="32" borderId="43" xfId="3" applyFont="1" applyFill="1" applyBorder="1" applyAlignment="1">
      <alignment horizontal="center" vertical="center" wrapText="1"/>
    </xf>
    <xf numFmtId="165" fontId="33" fillId="32" borderId="43" xfId="4" applyNumberFormat="1" applyFont="1" applyFill="1" applyBorder="1" applyAlignment="1">
      <alignment vertical="center" wrapText="1"/>
    </xf>
    <xf numFmtId="9" fontId="33" fillId="32" borderId="50" xfId="3" applyFont="1" applyFill="1" applyBorder="1" applyAlignment="1">
      <alignment horizontal="center" vertical="center" wrapText="1"/>
    </xf>
    <xf numFmtId="3" fontId="33" fillId="32" borderId="19" xfId="5" applyNumberFormat="1" applyFont="1" applyFill="1" applyBorder="1" applyAlignment="1">
      <alignment vertical="center" wrapText="1"/>
    </xf>
    <xf numFmtId="3" fontId="33" fillId="32" borderId="34" xfId="5" applyNumberFormat="1" applyFont="1" applyFill="1" applyBorder="1" applyAlignment="1">
      <alignment vertical="center" wrapText="1"/>
    </xf>
    <xf numFmtId="3" fontId="33" fillId="32" borderId="16" xfId="5" applyNumberFormat="1" applyFont="1" applyFill="1" applyBorder="1" applyAlignment="1">
      <alignment vertical="center" wrapText="1"/>
    </xf>
    <xf numFmtId="3" fontId="33" fillId="32" borderId="18" xfId="5" applyNumberFormat="1" applyFont="1" applyFill="1" applyBorder="1" applyAlignment="1">
      <alignment vertical="center" wrapText="1"/>
    </xf>
    <xf numFmtId="0" fontId="33" fillId="32" borderId="44" xfId="5" applyFont="1" applyFill="1" applyBorder="1" applyAlignment="1">
      <alignment vertical="center" wrapText="1"/>
    </xf>
    <xf numFmtId="0" fontId="33" fillId="0" borderId="0" xfId="5" applyFont="1" applyAlignment="1">
      <alignment vertical="center" wrapText="1"/>
    </xf>
    <xf numFmtId="0" fontId="41" fillId="0" borderId="68" xfId="0" applyFont="1" applyBorder="1" applyAlignment="1">
      <alignment horizontal="left" vertical="center" wrapText="1"/>
    </xf>
    <xf numFmtId="0" fontId="40" fillId="0" borderId="69" xfId="0" applyFont="1" applyBorder="1" applyAlignment="1">
      <alignment horizontal="center" vertical="center" wrapText="1"/>
    </xf>
    <xf numFmtId="0" fontId="41" fillId="0" borderId="70" xfId="0" applyFont="1" applyBorder="1" applyAlignment="1">
      <alignment horizontal="center" vertical="center"/>
    </xf>
    <xf numFmtId="0" fontId="41" fillId="0" borderId="71" xfId="0" applyFont="1" applyBorder="1" applyAlignment="1">
      <alignment horizontal="center" vertical="center"/>
    </xf>
    <xf numFmtId="1" fontId="30" fillId="0" borderId="19" xfId="5" applyNumberFormat="1" applyFont="1" applyBorder="1" applyAlignment="1">
      <alignment horizontal="center" vertical="center" wrapText="1"/>
    </xf>
    <xf numFmtId="1" fontId="30" fillId="0" borderId="43" xfId="5" applyNumberFormat="1" applyFont="1" applyBorder="1" applyAlignment="1">
      <alignment horizontal="center" vertical="center" wrapText="1"/>
    </xf>
    <xf numFmtId="9" fontId="30" fillId="0" borderId="44" xfId="3" applyFont="1" applyFill="1" applyBorder="1" applyAlignment="1">
      <alignment horizontal="center" vertical="center" wrapText="1"/>
    </xf>
    <xf numFmtId="168" fontId="30" fillId="0" borderId="44" xfId="3" applyNumberFormat="1" applyFont="1" applyFill="1" applyBorder="1" applyAlignment="1">
      <alignment horizontal="center" vertical="center" wrapText="1"/>
    </xf>
    <xf numFmtId="3" fontId="30" fillId="0" borderId="43" xfId="5" applyNumberFormat="1" applyFont="1" applyBorder="1" applyAlignment="1">
      <alignment vertical="center" wrapText="1"/>
    </xf>
    <xf numFmtId="0" fontId="33" fillId="0" borderId="43" xfId="5" applyFont="1" applyBorder="1" applyAlignment="1">
      <alignment horizontal="center" vertical="center" wrapText="1"/>
    </xf>
    <xf numFmtId="0" fontId="30" fillId="0" borderId="44" xfId="5" applyFont="1" applyBorder="1" applyAlignment="1">
      <alignment horizontal="center" vertical="center" wrapText="1"/>
    </xf>
    <xf numFmtId="3" fontId="30" fillId="0" borderId="19" xfId="5" applyNumberFormat="1" applyFont="1" applyBorder="1" applyAlignment="1">
      <alignment vertical="center" wrapText="1"/>
    </xf>
    <xf numFmtId="14" fontId="30" fillId="0" borderId="43" xfId="5" applyNumberFormat="1" applyFont="1" applyBorder="1" applyAlignment="1">
      <alignment vertical="center" wrapText="1"/>
    </xf>
    <xf numFmtId="10" fontId="30" fillId="0" borderId="44" xfId="3" applyNumberFormat="1" applyFont="1" applyFill="1" applyBorder="1" applyAlignment="1">
      <alignment vertical="center" wrapText="1"/>
    </xf>
    <xf numFmtId="3" fontId="30" fillId="0" borderId="43" xfId="5" applyNumberFormat="1" applyFont="1" applyBorder="1" applyAlignment="1">
      <alignment horizontal="center" vertical="center" wrapText="1"/>
    </xf>
    <xf numFmtId="3" fontId="30" fillId="0" borderId="44" xfId="5" applyNumberFormat="1" applyFont="1" applyBorder="1" applyAlignment="1">
      <alignment horizontal="center" vertical="center" wrapText="1"/>
    </xf>
    <xf numFmtId="168" fontId="30" fillId="0" borderId="25" xfId="3" applyNumberFormat="1" applyFont="1" applyFill="1" applyBorder="1" applyAlignment="1">
      <alignment horizontal="center" vertical="center" wrapText="1"/>
    </xf>
    <xf numFmtId="9" fontId="40" fillId="0" borderId="72" xfId="0" applyNumberFormat="1" applyFont="1" applyBorder="1" applyAlignment="1">
      <alignment horizontal="center" vertical="center"/>
    </xf>
    <xf numFmtId="169" fontId="48" fillId="0" borderId="73" xfId="0" applyNumberFormat="1" applyFont="1" applyBorder="1" applyAlignment="1">
      <alignment horizontal="right" vertical="center"/>
    </xf>
    <xf numFmtId="3" fontId="33" fillId="0" borderId="44" xfId="5" applyNumberFormat="1" applyFont="1" applyBorder="1" applyAlignment="1">
      <alignment vertical="center" wrapText="1"/>
    </xf>
    <xf numFmtId="10" fontId="30" fillId="0" borderId="44" xfId="3" applyNumberFormat="1" applyFont="1" applyFill="1" applyBorder="1" applyAlignment="1">
      <alignment horizontal="right" vertical="center" wrapText="1"/>
    </xf>
    <xf numFmtId="165" fontId="33" fillId="0" borderId="19" xfId="4" applyNumberFormat="1" applyFont="1" applyFill="1" applyBorder="1" applyAlignment="1">
      <alignment vertical="center" wrapText="1"/>
    </xf>
    <xf numFmtId="9" fontId="30" fillId="0" borderId="43" xfId="3" applyFont="1" applyFill="1" applyBorder="1" applyAlignment="1">
      <alignment horizontal="center" vertical="center" wrapText="1"/>
    </xf>
    <xf numFmtId="165" fontId="33" fillId="0" borderId="43" xfId="4" applyNumberFormat="1" applyFont="1" applyFill="1" applyBorder="1" applyAlignment="1">
      <alignment vertical="center" wrapText="1"/>
    </xf>
    <xf numFmtId="9" fontId="30" fillId="0" borderId="50" xfId="3" applyFont="1" applyFill="1" applyBorder="1" applyAlignment="1">
      <alignment horizontal="center" vertical="center" wrapText="1"/>
    </xf>
    <xf numFmtId="3" fontId="30" fillId="0" borderId="44" xfId="5" applyNumberFormat="1" applyFont="1" applyBorder="1" applyAlignment="1">
      <alignment vertical="center" wrapText="1"/>
    </xf>
    <xf numFmtId="9" fontId="33" fillId="0" borderId="44" xfId="3" applyFont="1" applyFill="1" applyBorder="1" applyAlignment="1">
      <alignment horizontal="center" vertical="center" wrapText="1"/>
    </xf>
    <xf numFmtId="3" fontId="33" fillId="0" borderId="19" xfId="5" applyNumberFormat="1" applyFont="1" applyBorder="1" applyAlignment="1">
      <alignment vertical="center" wrapText="1"/>
    </xf>
    <xf numFmtId="3" fontId="33" fillId="0" borderId="34" xfId="5" applyNumberFormat="1" applyFont="1" applyBorder="1" applyAlignment="1">
      <alignment vertical="center" wrapText="1"/>
    </xf>
    <xf numFmtId="3" fontId="30" fillId="0" borderId="16" xfId="5" applyNumberFormat="1" applyFont="1" applyBorder="1" applyAlignment="1">
      <alignment vertical="center" wrapText="1"/>
    </xf>
    <xf numFmtId="0" fontId="48" fillId="0" borderId="73" xfId="0" applyFont="1" applyBorder="1" applyAlignment="1">
      <alignment horizontal="center" vertical="center" wrapText="1"/>
    </xf>
    <xf numFmtId="0" fontId="30" fillId="0" borderId="44" xfId="5" applyFont="1" applyBorder="1" applyAlignment="1">
      <alignment vertical="center" wrapText="1"/>
    </xf>
    <xf numFmtId="10" fontId="30" fillId="0" borderId="43" xfId="3" applyNumberFormat="1" applyFont="1" applyFill="1" applyBorder="1" applyAlignment="1">
      <alignment vertical="center" wrapText="1"/>
    </xf>
    <xf numFmtId="9" fontId="40" fillId="0" borderId="71" xfId="0" applyNumberFormat="1" applyFont="1" applyBorder="1" applyAlignment="1">
      <alignment horizontal="center" vertical="center"/>
    </xf>
    <xf numFmtId="3" fontId="33" fillId="0" borderId="43" xfId="5" applyNumberFormat="1" applyFont="1" applyBorder="1" applyAlignment="1">
      <alignment vertical="center" wrapText="1"/>
    </xf>
    <xf numFmtId="0" fontId="40" fillId="0" borderId="68" xfId="0" applyFont="1" applyBorder="1" applyAlignment="1">
      <alignment horizontal="left" vertical="center" wrapText="1"/>
    </xf>
    <xf numFmtId="1" fontId="30" fillId="9" borderId="43" xfId="5" applyNumberFormat="1" applyFont="1" applyFill="1" applyBorder="1" applyAlignment="1">
      <alignment horizontal="center" vertical="center" wrapText="1"/>
    </xf>
    <xf numFmtId="9" fontId="30" fillId="0" borderId="43" xfId="3" applyFont="1" applyFill="1" applyBorder="1" applyAlignment="1">
      <alignment vertical="center" wrapText="1"/>
    </xf>
    <xf numFmtId="170" fontId="33" fillId="32" borderId="43" xfId="4" applyNumberFormat="1" applyFont="1" applyFill="1" applyBorder="1" applyAlignment="1">
      <alignment vertical="center" wrapText="1"/>
    </xf>
    <xf numFmtId="0" fontId="40" fillId="0" borderId="6" xfId="0" applyFont="1" applyBorder="1" applyAlignment="1">
      <alignment horizontal="center" vertical="center" wrapText="1"/>
    </xf>
    <xf numFmtId="9" fontId="40" fillId="0" borderId="70" xfId="0" applyNumberFormat="1" applyFont="1" applyBorder="1" applyAlignment="1">
      <alignment horizontal="center" vertical="center"/>
    </xf>
    <xf numFmtId="9" fontId="30" fillId="0" borderId="19" xfId="3" applyFont="1" applyFill="1" applyBorder="1" applyAlignment="1">
      <alignment horizontal="center" vertical="center" wrapText="1"/>
    </xf>
    <xf numFmtId="9" fontId="30" fillId="3" borderId="44" xfId="3" applyFont="1" applyFill="1" applyBorder="1" applyAlignment="1">
      <alignment horizontal="center" vertical="center" wrapText="1"/>
    </xf>
    <xf numFmtId="168" fontId="30" fillId="3" borderId="25" xfId="3" applyNumberFormat="1" applyFont="1" applyFill="1" applyBorder="1" applyAlignment="1">
      <alignment horizontal="center" vertical="center" wrapText="1"/>
    </xf>
    <xf numFmtId="169" fontId="32" fillId="0" borderId="73" xfId="0" applyNumberFormat="1" applyFont="1" applyBorder="1" applyAlignment="1">
      <alignment horizontal="right" vertical="center"/>
    </xf>
    <xf numFmtId="3" fontId="30" fillId="0" borderId="18" xfId="5" applyNumberFormat="1" applyFont="1" applyBorder="1" applyAlignment="1">
      <alignment vertical="center" wrapText="1"/>
    </xf>
    <xf numFmtId="0" fontId="40" fillId="0" borderId="70" xfId="0" applyFont="1" applyBorder="1" applyAlignment="1">
      <alignment horizontal="center" vertical="center"/>
    </xf>
    <xf numFmtId="0" fontId="40" fillId="0" borderId="71" xfId="0" applyFont="1" applyBorder="1" applyAlignment="1">
      <alignment horizontal="center" vertical="center"/>
    </xf>
    <xf numFmtId="0" fontId="40" fillId="0" borderId="70" xfId="0" applyFont="1" applyBorder="1" applyAlignment="1">
      <alignment horizontal="center" vertical="center" wrapText="1"/>
    </xf>
    <xf numFmtId="0" fontId="40" fillId="0" borderId="71" xfId="0" applyFont="1" applyBorder="1" applyAlignment="1">
      <alignment horizontal="center" vertical="center" wrapText="1"/>
    </xf>
    <xf numFmtId="9" fontId="40" fillId="0" borderId="5" xfId="0" applyNumberFormat="1" applyFont="1" applyBorder="1" applyAlignment="1">
      <alignment horizontal="center" vertical="center"/>
    </xf>
    <xf numFmtId="168" fontId="30" fillId="9" borderId="44" xfId="3" applyNumberFormat="1" applyFont="1" applyFill="1" applyBorder="1" applyAlignment="1">
      <alignment horizontal="center" vertical="center" wrapText="1"/>
    </xf>
    <xf numFmtId="9" fontId="40" fillId="0" borderId="70" xfId="0" applyNumberFormat="1" applyFont="1" applyBorder="1" applyAlignment="1">
      <alignment horizontal="center" vertical="center" wrapText="1"/>
    </xf>
    <xf numFmtId="9" fontId="40" fillId="0" borderId="71" xfId="0" applyNumberFormat="1" applyFont="1" applyBorder="1" applyAlignment="1">
      <alignment horizontal="center" vertical="center" wrapText="1"/>
    </xf>
    <xf numFmtId="3" fontId="30" fillId="3" borderId="44" xfId="5" applyNumberFormat="1" applyFont="1" applyFill="1" applyBorder="1" applyAlignment="1">
      <alignment horizontal="center" vertical="center" wrapText="1"/>
    </xf>
    <xf numFmtId="3" fontId="30" fillId="9" borderId="43" xfId="5" applyNumberFormat="1" applyFont="1" applyFill="1" applyBorder="1" applyAlignment="1">
      <alignment vertical="center" wrapText="1"/>
    </xf>
    <xf numFmtId="0" fontId="30" fillId="0" borderId="43" xfId="5" applyFont="1" applyBorder="1" applyAlignment="1">
      <alignment horizontal="center" vertical="center" wrapText="1"/>
    </xf>
    <xf numFmtId="9" fontId="30" fillId="0" borderId="44" xfId="3" applyFont="1" applyBorder="1" applyAlignment="1">
      <alignment horizontal="center" vertical="center" wrapText="1"/>
    </xf>
    <xf numFmtId="169" fontId="50" fillId="0" borderId="73" xfId="0" applyNumberFormat="1" applyFont="1" applyBorder="1" applyAlignment="1">
      <alignment vertical="center"/>
    </xf>
    <xf numFmtId="1" fontId="33" fillId="32" borderId="43" xfId="5" applyNumberFormat="1" applyFont="1" applyFill="1" applyBorder="1" applyAlignment="1">
      <alignment vertical="center" wrapText="1"/>
    </xf>
    <xf numFmtId="14" fontId="33" fillId="32" borderId="43" xfId="5" applyNumberFormat="1" applyFont="1" applyFill="1" applyBorder="1" applyAlignment="1">
      <alignment vertical="center" wrapText="1"/>
    </xf>
    <xf numFmtId="9" fontId="33" fillId="32" borderId="43" xfId="3" applyFont="1" applyFill="1" applyBorder="1" applyAlignment="1">
      <alignment vertical="center" wrapText="1"/>
    </xf>
    <xf numFmtId="9" fontId="33" fillId="0" borderId="44" xfId="3" applyFont="1" applyBorder="1" applyAlignment="1">
      <alignment horizontal="center" vertical="center" wrapText="1"/>
    </xf>
    <xf numFmtId="0" fontId="41" fillId="9" borderId="68" xfId="0" applyFont="1" applyFill="1" applyBorder="1" applyAlignment="1">
      <alignment horizontal="left" vertical="center" wrapText="1"/>
    </xf>
    <xf numFmtId="9" fontId="41" fillId="0" borderId="71" xfId="0" applyNumberFormat="1" applyFont="1" applyBorder="1" applyAlignment="1">
      <alignment horizontal="center" vertical="center"/>
    </xf>
    <xf numFmtId="1" fontId="40" fillId="0" borderId="70" xfId="0" applyNumberFormat="1" applyFont="1" applyBorder="1" applyAlignment="1">
      <alignment horizontal="center" vertical="center"/>
    </xf>
    <xf numFmtId="1" fontId="40" fillId="0" borderId="71" xfId="0" applyNumberFormat="1" applyFont="1" applyBorder="1" applyAlignment="1">
      <alignment horizontal="center" vertical="center"/>
    </xf>
    <xf numFmtId="0" fontId="40" fillId="9" borderId="70" xfId="0" applyFont="1" applyFill="1" applyBorder="1" applyAlignment="1">
      <alignment horizontal="center" vertical="center"/>
    </xf>
    <xf numFmtId="0" fontId="30" fillId="9" borderId="68" xfId="0" applyFont="1" applyFill="1" applyBorder="1" applyAlignment="1">
      <alignment horizontal="left" vertical="center" wrapText="1"/>
    </xf>
    <xf numFmtId="9" fontId="30" fillId="0" borderId="19" xfId="3" applyFont="1" applyBorder="1" applyAlignment="1">
      <alignment horizontal="center" vertical="center" wrapText="1"/>
    </xf>
    <xf numFmtId="168" fontId="30" fillId="9" borderId="43" xfId="3" applyNumberFormat="1" applyFont="1" applyFill="1" applyBorder="1" applyAlignment="1">
      <alignment horizontal="center" vertical="center" wrapText="1"/>
    </xf>
    <xf numFmtId="0" fontId="40" fillId="9" borderId="68" xfId="0" applyFont="1" applyFill="1" applyBorder="1" applyAlignment="1">
      <alignment horizontal="left" vertical="center" wrapText="1"/>
    </xf>
    <xf numFmtId="0" fontId="41" fillId="9" borderId="68" xfId="0" applyFont="1" applyFill="1" applyBorder="1" applyAlignment="1">
      <alignment vertical="center" wrapText="1"/>
    </xf>
    <xf numFmtId="3" fontId="33" fillId="30" borderId="44" xfId="5" applyNumberFormat="1" applyFont="1" applyFill="1" applyBorder="1" applyAlignment="1">
      <alignment vertical="center" wrapText="1"/>
    </xf>
    <xf numFmtId="1" fontId="33" fillId="30" borderId="19" xfId="5" applyNumberFormat="1" applyFont="1" applyFill="1" applyBorder="1" applyAlignment="1">
      <alignment horizontal="center" vertical="center" wrapText="1"/>
    </xf>
    <xf numFmtId="1" fontId="33" fillId="30" borderId="44" xfId="5" applyNumberFormat="1" applyFont="1" applyFill="1" applyBorder="1" applyAlignment="1">
      <alignment horizontal="center" vertical="center" wrapText="1"/>
    </xf>
    <xf numFmtId="1" fontId="33" fillId="30" borderId="43" xfId="5" applyNumberFormat="1" applyFont="1" applyFill="1" applyBorder="1" applyAlignment="1">
      <alignment horizontal="center" vertical="center" wrapText="1"/>
    </xf>
    <xf numFmtId="3" fontId="33" fillId="30" borderId="43" xfId="5" applyNumberFormat="1" applyFont="1" applyFill="1" applyBorder="1" applyAlignment="1">
      <alignment vertical="center" wrapText="1"/>
    </xf>
    <xf numFmtId="1" fontId="33" fillId="30" borderId="43" xfId="5" applyNumberFormat="1" applyFont="1" applyFill="1" applyBorder="1" applyAlignment="1">
      <alignment vertical="center" wrapText="1"/>
    </xf>
    <xf numFmtId="14" fontId="33" fillId="30" borderId="43" xfId="5" applyNumberFormat="1" applyFont="1" applyFill="1" applyBorder="1" applyAlignment="1">
      <alignment vertical="center" wrapText="1"/>
    </xf>
    <xf numFmtId="9" fontId="33" fillId="30" borderId="43" xfId="3" applyFont="1" applyFill="1" applyBorder="1" applyAlignment="1">
      <alignment vertical="center" wrapText="1"/>
    </xf>
    <xf numFmtId="3" fontId="33" fillId="30" borderId="43" xfId="5" applyNumberFormat="1" applyFont="1" applyFill="1" applyBorder="1" applyAlignment="1">
      <alignment horizontal="center" vertical="center" wrapText="1"/>
    </xf>
    <xf numFmtId="3" fontId="33" fillId="30" borderId="44" xfId="5" applyNumberFormat="1" applyFont="1" applyFill="1" applyBorder="1" applyAlignment="1">
      <alignment horizontal="center" vertical="center" wrapText="1"/>
    </xf>
    <xf numFmtId="9" fontId="33" fillId="30" borderId="50" xfId="3" applyFont="1" applyFill="1" applyBorder="1" applyAlignment="1">
      <alignment horizontal="center" vertical="center" wrapText="1"/>
    </xf>
    <xf numFmtId="1" fontId="33" fillId="32" borderId="16" xfId="5" applyNumberFormat="1" applyFont="1" applyFill="1" applyBorder="1" applyAlignment="1">
      <alignment horizontal="center" vertical="center" wrapText="1"/>
    </xf>
    <xf numFmtId="0" fontId="40" fillId="0" borderId="77" xfId="0" applyFont="1" applyBorder="1" applyAlignment="1">
      <alignment horizontal="center" vertical="center" wrapText="1"/>
    </xf>
    <xf numFmtId="0" fontId="40" fillId="0" borderId="78" xfId="0" applyFont="1" applyBorder="1" applyAlignment="1">
      <alignment horizontal="center" vertical="center"/>
    </xf>
    <xf numFmtId="0" fontId="40" fillId="0" borderId="79" xfId="0" applyFont="1" applyBorder="1" applyAlignment="1">
      <alignment horizontal="center" vertical="center"/>
    </xf>
    <xf numFmtId="1" fontId="30" fillId="0" borderId="25" xfId="5" applyNumberFormat="1" applyFont="1" applyBorder="1" applyAlignment="1">
      <alignment horizontal="center" vertical="center" wrapText="1"/>
    </xf>
    <xf numFmtId="9" fontId="30" fillId="0" borderId="43" xfId="3" applyFont="1" applyBorder="1" applyAlignment="1">
      <alignment horizontal="center" vertical="center" wrapText="1"/>
    </xf>
    <xf numFmtId="9" fontId="41" fillId="0" borderId="70" xfId="0" applyNumberFormat="1" applyFont="1" applyBorder="1" applyAlignment="1">
      <alignment horizontal="center" vertical="center"/>
    </xf>
    <xf numFmtId="168" fontId="51" fillId="0" borderId="44" xfId="3" applyNumberFormat="1" applyFont="1" applyFill="1" applyBorder="1" applyAlignment="1">
      <alignment horizontal="center" vertical="center" wrapText="1"/>
    </xf>
    <xf numFmtId="0" fontId="40" fillId="34" borderId="6" xfId="0" applyFont="1" applyFill="1" applyBorder="1" applyAlignment="1">
      <alignment horizontal="center" vertical="center" wrapText="1"/>
    </xf>
    <xf numFmtId="0" fontId="40" fillId="34" borderId="70" xfId="0" applyFont="1" applyFill="1" applyBorder="1" applyAlignment="1">
      <alignment horizontal="center" vertical="center"/>
    </xf>
    <xf numFmtId="0" fontId="40" fillId="34" borderId="71" xfId="0" applyFont="1" applyFill="1" applyBorder="1" applyAlignment="1">
      <alignment horizontal="center" vertical="center"/>
    </xf>
    <xf numFmtId="0" fontId="40" fillId="34" borderId="69" xfId="0" applyFont="1" applyFill="1" applyBorder="1" applyAlignment="1">
      <alignment horizontal="center" vertical="center" wrapText="1"/>
    </xf>
    <xf numFmtId="9" fontId="40" fillId="34" borderId="70" xfId="0" applyNumberFormat="1" applyFont="1" applyFill="1" applyBorder="1" applyAlignment="1">
      <alignment horizontal="center" vertical="center"/>
    </xf>
    <xf numFmtId="9" fontId="40" fillId="34" borderId="71" xfId="0" applyNumberFormat="1" applyFont="1" applyFill="1" applyBorder="1" applyAlignment="1">
      <alignment horizontal="center" vertical="center"/>
    </xf>
    <xf numFmtId="0" fontId="40" fillId="34" borderId="80" xfId="0" applyFont="1" applyFill="1" applyBorder="1" applyAlignment="1">
      <alignment horizontal="center" vertical="center" wrapText="1"/>
    </xf>
    <xf numFmtId="0" fontId="40" fillId="34" borderId="67" xfId="0" applyFont="1" applyFill="1" applyBorder="1" applyAlignment="1">
      <alignment horizontal="center" vertical="center" wrapText="1"/>
    </xf>
    <xf numFmtId="1" fontId="33" fillId="28" borderId="50" xfId="5" applyNumberFormat="1" applyFont="1" applyFill="1" applyBorder="1" applyAlignment="1">
      <alignment horizontal="center" vertical="center" wrapText="1"/>
    </xf>
    <xf numFmtId="3" fontId="33" fillId="28" borderId="43" xfId="5" applyNumberFormat="1" applyFont="1" applyFill="1" applyBorder="1" applyAlignment="1">
      <alignment vertical="center" wrapText="1"/>
    </xf>
    <xf numFmtId="3" fontId="33" fillId="28" borderId="43" xfId="5" applyNumberFormat="1" applyFont="1" applyFill="1" applyBorder="1" applyAlignment="1">
      <alignment horizontal="center" vertical="center" wrapText="1"/>
    </xf>
    <xf numFmtId="3" fontId="33" fillId="28" borderId="44" xfId="5" applyNumberFormat="1" applyFont="1" applyFill="1" applyBorder="1" applyAlignment="1">
      <alignment horizontal="center" vertical="center" wrapText="1"/>
    </xf>
    <xf numFmtId="9" fontId="33" fillId="28" borderId="25" xfId="3" applyFont="1" applyFill="1" applyBorder="1" applyAlignment="1">
      <alignment horizontal="center" vertical="center" wrapText="1"/>
    </xf>
    <xf numFmtId="9" fontId="33" fillId="28" borderId="44" xfId="3" applyFont="1" applyFill="1" applyBorder="1" applyAlignment="1">
      <alignment horizontal="center" vertical="center" wrapText="1"/>
    </xf>
    <xf numFmtId="4" fontId="33" fillId="28" borderId="66" xfId="5" applyNumberFormat="1" applyFont="1" applyFill="1" applyBorder="1" applyAlignment="1">
      <alignment vertical="center" wrapText="1"/>
    </xf>
    <xf numFmtId="10" fontId="33" fillId="28" borderId="44" xfId="3" applyNumberFormat="1" applyFont="1" applyFill="1" applyBorder="1" applyAlignment="1">
      <alignment horizontal="right" vertical="center" wrapText="1"/>
    </xf>
    <xf numFmtId="9" fontId="33" fillId="28" borderId="43" xfId="3" applyFont="1" applyFill="1" applyBorder="1" applyAlignment="1">
      <alignment horizontal="center" vertical="center" wrapText="1"/>
    </xf>
    <xf numFmtId="165" fontId="33" fillId="28" borderId="43" xfId="4" applyNumberFormat="1" applyFont="1" applyFill="1" applyBorder="1" applyAlignment="1">
      <alignment vertical="center" wrapText="1"/>
    </xf>
    <xf numFmtId="3" fontId="33" fillId="28" borderId="19" xfId="5" applyNumberFormat="1" applyFont="1" applyFill="1" applyBorder="1" applyAlignment="1">
      <alignment vertical="center" wrapText="1"/>
    </xf>
    <xf numFmtId="3" fontId="33" fillId="28" borderId="34" xfId="5" applyNumberFormat="1" applyFont="1" applyFill="1" applyBorder="1" applyAlignment="1">
      <alignment vertical="center" wrapText="1"/>
    </xf>
    <xf numFmtId="3" fontId="33" fillId="28" borderId="16" xfId="5" applyNumberFormat="1" applyFont="1" applyFill="1" applyBorder="1" applyAlignment="1">
      <alignment vertical="center" wrapText="1"/>
    </xf>
    <xf numFmtId="3" fontId="33" fillId="28" borderId="18" xfId="5" applyNumberFormat="1" applyFont="1" applyFill="1" applyBorder="1" applyAlignment="1">
      <alignment vertical="center" wrapText="1"/>
    </xf>
    <xf numFmtId="0" fontId="33" fillId="28" borderId="44" xfId="5" applyFont="1" applyFill="1" applyBorder="1" applyAlignment="1">
      <alignment vertical="center" wrapText="1"/>
    </xf>
    <xf numFmtId="168" fontId="33" fillId="30" borderId="44" xfId="3" applyNumberFormat="1" applyFont="1" applyFill="1" applyBorder="1" applyAlignment="1">
      <alignment horizontal="center" vertical="center" wrapText="1"/>
    </xf>
    <xf numFmtId="3" fontId="33" fillId="30" borderId="46" xfId="5" applyNumberFormat="1" applyFont="1" applyFill="1" applyBorder="1" applyAlignment="1">
      <alignment vertical="center" wrapText="1"/>
    </xf>
    <xf numFmtId="3" fontId="33" fillId="30" borderId="46" xfId="5" applyNumberFormat="1" applyFont="1" applyFill="1" applyBorder="1" applyAlignment="1">
      <alignment horizontal="center" vertical="center" wrapText="1"/>
    </xf>
    <xf numFmtId="4" fontId="33" fillId="30" borderId="67" xfId="5" applyNumberFormat="1" applyFont="1" applyFill="1" applyBorder="1" applyAlignment="1">
      <alignment vertical="center" wrapText="1"/>
    </xf>
    <xf numFmtId="9" fontId="33" fillId="30" borderId="46" xfId="3" applyFont="1" applyFill="1" applyBorder="1" applyAlignment="1">
      <alignment horizontal="center" vertical="center" wrapText="1"/>
    </xf>
    <xf numFmtId="165" fontId="33" fillId="30" borderId="46" xfId="4" applyNumberFormat="1" applyFont="1" applyFill="1" applyBorder="1" applyAlignment="1">
      <alignment vertical="center" wrapText="1"/>
    </xf>
    <xf numFmtId="9" fontId="33" fillId="30" borderId="47" xfId="3" applyFont="1" applyFill="1" applyBorder="1" applyAlignment="1">
      <alignment horizontal="center" vertical="center" wrapText="1"/>
    </xf>
    <xf numFmtId="3" fontId="33" fillId="30" borderId="22" xfId="5" applyNumberFormat="1" applyFont="1" applyFill="1" applyBorder="1" applyAlignment="1">
      <alignment vertical="center" wrapText="1"/>
    </xf>
    <xf numFmtId="0" fontId="33" fillId="30" borderId="44" xfId="5" applyFont="1" applyFill="1" applyBorder="1" applyAlignment="1">
      <alignment vertical="center" wrapText="1"/>
    </xf>
    <xf numFmtId="3" fontId="33" fillId="32" borderId="46" xfId="5" applyNumberFormat="1" applyFont="1" applyFill="1" applyBorder="1" applyAlignment="1">
      <alignment vertical="center" wrapText="1"/>
    </xf>
    <xf numFmtId="3" fontId="33" fillId="32" borderId="46" xfId="5" applyNumberFormat="1" applyFont="1" applyFill="1" applyBorder="1" applyAlignment="1">
      <alignment horizontal="center" vertical="center" wrapText="1"/>
    </xf>
    <xf numFmtId="4" fontId="33" fillId="32" borderId="67" xfId="5" applyNumberFormat="1" applyFont="1" applyFill="1" applyBorder="1" applyAlignment="1">
      <alignment vertical="center" wrapText="1"/>
    </xf>
    <xf numFmtId="165" fontId="33" fillId="32" borderId="46" xfId="4" applyNumberFormat="1" applyFont="1" applyFill="1" applyBorder="1" applyAlignment="1">
      <alignment vertical="center" wrapText="1"/>
    </xf>
    <xf numFmtId="9" fontId="33" fillId="32" borderId="47" xfId="3" applyFont="1" applyFill="1" applyBorder="1" applyAlignment="1">
      <alignment horizontal="center" vertical="center" wrapText="1"/>
    </xf>
    <xf numFmtId="3" fontId="33" fillId="32" borderId="22" xfId="5" applyNumberFormat="1" applyFont="1" applyFill="1" applyBorder="1" applyAlignment="1">
      <alignment vertical="center" wrapText="1"/>
    </xf>
    <xf numFmtId="0" fontId="41" fillId="0" borderId="68" xfId="0" applyFont="1" applyBorder="1" applyAlignment="1">
      <alignment vertical="center" wrapText="1"/>
    </xf>
    <xf numFmtId="0" fontId="40" fillId="35" borderId="70" xfId="0" applyFont="1" applyFill="1" applyBorder="1" applyAlignment="1">
      <alignment horizontal="center" vertical="center"/>
    </xf>
    <xf numFmtId="0" fontId="40" fillId="35" borderId="71" xfId="0" applyFont="1" applyFill="1" applyBorder="1" applyAlignment="1">
      <alignment horizontal="center" vertical="center"/>
    </xf>
    <xf numFmtId="3" fontId="30" fillId="0" borderId="46" xfId="5" applyNumberFormat="1" applyFont="1" applyBorder="1" applyAlignment="1">
      <alignment vertical="center" wrapText="1"/>
    </xf>
    <xf numFmtId="3" fontId="30" fillId="0" borderId="46" xfId="5" applyNumberFormat="1" applyFont="1" applyBorder="1" applyAlignment="1">
      <alignment horizontal="center" vertical="center" wrapText="1"/>
    </xf>
    <xf numFmtId="3" fontId="33" fillId="0" borderId="46" xfId="5" applyNumberFormat="1" applyFont="1" applyBorder="1" applyAlignment="1">
      <alignment vertical="center" wrapText="1"/>
    </xf>
    <xf numFmtId="165" fontId="33" fillId="0" borderId="22" xfId="4" applyNumberFormat="1" applyFont="1" applyFill="1" applyBorder="1" applyAlignment="1">
      <alignment vertical="center" wrapText="1"/>
    </xf>
    <xf numFmtId="9" fontId="30" fillId="0" borderId="46" xfId="3" applyFont="1" applyFill="1" applyBorder="1" applyAlignment="1">
      <alignment horizontal="center" vertical="center" wrapText="1"/>
    </xf>
    <xf numFmtId="165" fontId="33" fillId="0" borderId="46" xfId="4" applyNumberFormat="1" applyFont="1" applyFill="1" applyBorder="1" applyAlignment="1">
      <alignment vertical="center" wrapText="1"/>
    </xf>
    <xf numFmtId="3" fontId="30" fillId="0" borderId="47" xfId="5" applyNumberFormat="1" applyFont="1" applyBorder="1" applyAlignment="1">
      <alignment vertical="center" wrapText="1"/>
    </xf>
    <xf numFmtId="9" fontId="33" fillId="0" borderId="47" xfId="3" applyFont="1" applyBorder="1" applyAlignment="1">
      <alignment horizontal="center" vertical="center" wrapText="1"/>
    </xf>
    <xf numFmtId="3" fontId="33" fillId="0" borderId="22" xfId="5" applyNumberFormat="1" applyFont="1" applyBorder="1" applyAlignment="1">
      <alignment vertical="center" wrapText="1"/>
    </xf>
    <xf numFmtId="3" fontId="30" fillId="0" borderId="48" xfId="5" applyNumberFormat="1" applyFont="1" applyBorder="1" applyAlignment="1">
      <alignment vertical="center" wrapText="1"/>
    </xf>
    <xf numFmtId="3" fontId="30" fillId="0" borderId="40" xfId="5" applyNumberFormat="1" applyFont="1" applyBorder="1" applyAlignment="1">
      <alignment vertical="center" wrapText="1"/>
    </xf>
    <xf numFmtId="3" fontId="30" fillId="0" borderId="41" xfId="5" applyNumberFormat="1" applyFont="1" applyBorder="1" applyAlignment="1">
      <alignment horizontal="center" vertical="center" wrapText="1"/>
    </xf>
    <xf numFmtId="3" fontId="30" fillId="0" borderId="50" xfId="5" applyNumberFormat="1" applyFont="1" applyBorder="1" applyAlignment="1">
      <alignment vertical="center" wrapText="1"/>
    </xf>
    <xf numFmtId="9" fontId="33" fillId="0" borderId="50" xfId="3" applyFont="1" applyBorder="1" applyAlignment="1">
      <alignment horizontal="center" vertical="center" wrapText="1"/>
    </xf>
    <xf numFmtId="3" fontId="33" fillId="0" borderId="40" xfId="5" applyNumberFormat="1" applyFont="1" applyBorder="1" applyAlignment="1">
      <alignment vertical="center" wrapText="1"/>
    </xf>
    <xf numFmtId="3" fontId="30" fillId="0" borderId="41" xfId="5" applyNumberFormat="1" applyFont="1" applyBorder="1" applyAlignment="1">
      <alignment vertical="center" wrapText="1"/>
    </xf>
    <xf numFmtId="3" fontId="33" fillId="0" borderId="41" xfId="5" applyNumberFormat="1" applyFont="1" applyBorder="1" applyAlignment="1">
      <alignment vertical="center" wrapText="1"/>
    </xf>
    <xf numFmtId="0" fontId="52" fillId="0" borderId="69" xfId="0" applyFont="1" applyBorder="1" applyAlignment="1">
      <alignment horizontal="center" vertical="center" wrapText="1"/>
    </xf>
    <xf numFmtId="0" fontId="40" fillId="36" borderId="70" xfId="0" applyFont="1" applyFill="1" applyBorder="1" applyAlignment="1">
      <alignment horizontal="center" vertical="center"/>
    </xf>
    <xf numFmtId="0" fontId="40" fillId="36" borderId="71" xfId="0" applyFont="1" applyFill="1" applyBorder="1" applyAlignment="1">
      <alignment horizontal="center" vertical="center"/>
    </xf>
    <xf numFmtId="0" fontId="48" fillId="0" borderId="73" xfId="0" applyFont="1" applyBorder="1" applyAlignment="1">
      <alignment vertical="center" wrapText="1"/>
    </xf>
    <xf numFmtId="9" fontId="40" fillId="36" borderId="70" xfId="0" applyNumberFormat="1" applyFont="1" applyFill="1" applyBorder="1" applyAlignment="1">
      <alignment horizontal="center" vertical="center"/>
    </xf>
    <xf numFmtId="9" fontId="40" fillId="36" borderId="71" xfId="0" applyNumberFormat="1" applyFont="1" applyFill="1" applyBorder="1" applyAlignment="1">
      <alignment horizontal="center" vertical="center"/>
    </xf>
    <xf numFmtId="3" fontId="33" fillId="32" borderId="41" xfId="5" applyNumberFormat="1" applyFont="1" applyFill="1" applyBorder="1" applyAlignment="1">
      <alignment vertical="center" wrapText="1"/>
    </xf>
    <xf numFmtId="0" fontId="33" fillId="32" borderId="43" xfId="5" applyFont="1" applyFill="1" applyBorder="1" applyAlignment="1">
      <alignment horizontal="center" vertical="center" wrapText="1"/>
    </xf>
    <xf numFmtId="0" fontId="33" fillId="32" borderId="44" xfId="5" applyFont="1" applyFill="1" applyBorder="1" applyAlignment="1">
      <alignment horizontal="center" vertical="center" wrapText="1"/>
    </xf>
    <xf numFmtId="3" fontId="33" fillId="32" borderId="41" xfId="5" applyNumberFormat="1" applyFont="1" applyFill="1" applyBorder="1" applyAlignment="1">
      <alignment horizontal="center" vertical="center" wrapText="1"/>
    </xf>
    <xf numFmtId="165" fontId="33" fillId="32" borderId="44" xfId="4" applyNumberFormat="1" applyFont="1" applyFill="1" applyBorder="1" applyAlignment="1">
      <alignment vertical="center" wrapText="1"/>
    </xf>
    <xf numFmtId="9" fontId="40" fillId="37" borderId="70" xfId="0" applyNumberFormat="1" applyFont="1" applyFill="1" applyBorder="1" applyAlignment="1">
      <alignment horizontal="center" vertical="center"/>
    </xf>
    <xf numFmtId="9" fontId="40" fillId="37" borderId="71" xfId="0" applyNumberFormat="1" applyFont="1" applyFill="1" applyBorder="1" applyAlignment="1">
      <alignment horizontal="center" vertical="center"/>
    </xf>
    <xf numFmtId="9" fontId="30" fillId="0" borderId="41" xfId="3" applyFont="1" applyFill="1" applyBorder="1" applyAlignment="1">
      <alignment horizontal="center" vertical="center" wrapText="1"/>
    </xf>
    <xf numFmtId="9" fontId="40" fillId="0" borderId="44" xfId="0" applyNumberFormat="1" applyFont="1" applyBorder="1" applyAlignment="1">
      <alignment horizontal="center" vertical="center"/>
    </xf>
    <xf numFmtId="165" fontId="33" fillId="0" borderId="67" xfId="4" applyNumberFormat="1" applyFont="1" applyFill="1" applyBorder="1" applyAlignment="1">
      <alignment vertical="center" wrapText="1"/>
    </xf>
    <xf numFmtId="165" fontId="33" fillId="0" borderId="44" xfId="4" applyNumberFormat="1" applyFont="1" applyFill="1" applyBorder="1" applyAlignment="1">
      <alignment vertical="center" wrapText="1"/>
    </xf>
    <xf numFmtId="3" fontId="30" fillId="9" borderId="41" xfId="5" applyNumberFormat="1" applyFont="1" applyFill="1" applyBorder="1" applyAlignment="1">
      <alignment vertical="center" wrapText="1"/>
    </xf>
    <xf numFmtId="0" fontId="40" fillId="37" borderId="70" xfId="0" applyFont="1" applyFill="1" applyBorder="1" applyAlignment="1">
      <alignment horizontal="center" vertical="center"/>
    </xf>
    <xf numFmtId="0" fontId="40" fillId="37" borderId="71" xfId="0" applyFont="1" applyFill="1" applyBorder="1" applyAlignment="1">
      <alignment horizontal="center" vertical="center"/>
    </xf>
    <xf numFmtId="169" fontId="53" fillId="0" borderId="73" xfId="0" applyNumberFormat="1" applyFont="1" applyBorder="1" applyAlignment="1">
      <alignment vertical="center"/>
    </xf>
    <xf numFmtId="3" fontId="33" fillId="0" borderId="50" xfId="5" applyNumberFormat="1" applyFont="1" applyBorder="1" applyAlignment="1">
      <alignment vertical="center" wrapText="1"/>
    </xf>
    <xf numFmtId="165" fontId="33" fillId="0" borderId="66" xfId="4" applyNumberFormat="1" applyFont="1" applyFill="1" applyBorder="1" applyAlignment="1">
      <alignment vertical="center" wrapText="1"/>
    </xf>
    <xf numFmtId="165" fontId="33" fillId="0" borderId="50" xfId="4" applyNumberFormat="1" applyFont="1" applyFill="1" applyBorder="1" applyAlignment="1">
      <alignment vertical="center" wrapText="1"/>
    </xf>
    <xf numFmtId="3" fontId="33" fillId="0" borderId="16" xfId="5" applyNumberFormat="1" applyFont="1" applyBorder="1" applyAlignment="1">
      <alignment vertical="center" wrapText="1"/>
    </xf>
    <xf numFmtId="9" fontId="40" fillId="35" borderId="70" xfId="0" applyNumberFormat="1" applyFont="1" applyFill="1" applyBorder="1" applyAlignment="1">
      <alignment horizontal="center" vertical="center"/>
    </xf>
    <xf numFmtId="9" fontId="40" fillId="35" borderId="71" xfId="0" applyNumberFormat="1" applyFont="1" applyFill="1" applyBorder="1" applyAlignment="1">
      <alignment horizontal="center" vertical="center"/>
    </xf>
    <xf numFmtId="0" fontId="32" fillId="0" borderId="6" xfId="0" applyFont="1" applyBorder="1" applyAlignment="1">
      <alignment horizontal="center" vertical="center" wrapText="1"/>
    </xf>
    <xf numFmtId="169" fontId="50" fillId="0" borderId="73" xfId="0" applyNumberFormat="1" applyFont="1" applyBorder="1" applyAlignment="1">
      <alignment horizontal="right" vertical="center"/>
    </xf>
    <xf numFmtId="3" fontId="30" fillId="0" borderId="41" xfId="5" applyNumberFormat="1" applyFont="1" applyBorder="1" applyAlignment="1">
      <alignment horizontal="justify" vertical="center" wrapText="1"/>
    </xf>
    <xf numFmtId="0" fontId="48" fillId="36" borderId="6" xfId="0" applyFont="1" applyFill="1" applyBorder="1" applyAlignment="1">
      <alignment horizontal="center" vertical="center" wrapText="1"/>
    </xf>
    <xf numFmtId="3" fontId="30" fillId="3" borderId="43" xfId="5" applyNumberFormat="1" applyFont="1" applyFill="1" applyBorder="1" applyAlignment="1">
      <alignment horizontal="center" vertical="center" wrapText="1"/>
    </xf>
    <xf numFmtId="0" fontId="32" fillId="36" borderId="69" xfId="0" applyFont="1" applyFill="1" applyBorder="1" applyAlignment="1">
      <alignment horizontal="center" vertical="center" wrapText="1"/>
    </xf>
    <xf numFmtId="165" fontId="33" fillId="30" borderId="44" xfId="4" applyNumberFormat="1" applyFont="1" applyFill="1" applyBorder="1" applyAlignment="1">
      <alignment vertical="center" wrapText="1"/>
    </xf>
    <xf numFmtId="0" fontId="30" fillId="31" borderId="43" xfId="0" applyFont="1" applyFill="1" applyBorder="1" applyAlignment="1">
      <alignment vertical="center" wrapText="1"/>
    </xf>
    <xf numFmtId="3" fontId="30" fillId="32" borderId="44" xfId="5" applyNumberFormat="1" applyFont="1" applyFill="1" applyBorder="1" applyAlignment="1">
      <alignment vertical="center" wrapText="1"/>
    </xf>
    <xf numFmtId="1" fontId="30" fillId="32" borderId="19" xfId="5" applyNumberFormat="1" applyFont="1" applyFill="1" applyBorder="1" applyAlignment="1">
      <alignment horizontal="center" vertical="center" wrapText="1"/>
    </xf>
    <xf numFmtId="1" fontId="30" fillId="32" borderId="44" xfId="5" applyNumberFormat="1" applyFont="1" applyFill="1" applyBorder="1" applyAlignment="1">
      <alignment horizontal="center" vertical="center" wrapText="1"/>
    </xf>
    <xf numFmtId="1" fontId="30" fillId="32" borderId="43" xfId="5" applyNumberFormat="1" applyFont="1" applyFill="1" applyBorder="1" applyAlignment="1">
      <alignment horizontal="center" vertical="center" wrapText="1"/>
    </xf>
    <xf numFmtId="9" fontId="47" fillId="32" borderId="44" xfId="3" applyFont="1" applyFill="1" applyBorder="1" applyAlignment="1">
      <alignment horizontal="center" vertical="center" wrapText="1"/>
    </xf>
    <xf numFmtId="3" fontId="30" fillId="32" borderId="43" xfId="5" applyNumberFormat="1" applyFont="1" applyFill="1" applyBorder="1" applyAlignment="1">
      <alignment vertical="center" wrapText="1"/>
    </xf>
    <xf numFmtId="14" fontId="30" fillId="32" borderId="43" xfId="5" applyNumberFormat="1" applyFont="1" applyFill="1" applyBorder="1" applyAlignment="1">
      <alignment vertical="center" wrapText="1"/>
    </xf>
    <xf numFmtId="3" fontId="30" fillId="32" borderId="43" xfId="5" applyNumberFormat="1" applyFont="1" applyFill="1" applyBorder="1" applyAlignment="1">
      <alignment horizontal="center" vertical="center" wrapText="1"/>
    </xf>
    <xf numFmtId="3" fontId="30" fillId="32" borderId="44" xfId="5" applyNumberFormat="1" applyFont="1" applyFill="1" applyBorder="1" applyAlignment="1">
      <alignment horizontal="center" vertical="center" wrapText="1"/>
    </xf>
    <xf numFmtId="9" fontId="30" fillId="32" borderId="44" xfId="3" applyFont="1" applyFill="1" applyBorder="1" applyAlignment="1">
      <alignment horizontal="center" vertical="center" wrapText="1"/>
    </xf>
    <xf numFmtId="9" fontId="30" fillId="32" borderId="43" xfId="3" applyFont="1" applyFill="1" applyBorder="1" applyAlignment="1">
      <alignment horizontal="center" vertical="center" wrapText="1"/>
    </xf>
    <xf numFmtId="10" fontId="30" fillId="32" borderId="44" xfId="3" applyNumberFormat="1" applyFont="1" applyFill="1" applyBorder="1" applyAlignment="1">
      <alignment horizontal="right" vertical="center" wrapText="1"/>
    </xf>
    <xf numFmtId="171" fontId="56" fillId="32" borderId="0" xfId="0" applyNumberFormat="1" applyFont="1" applyFill="1" applyAlignment="1">
      <alignment horizontal="right" vertical="center"/>
    </xf>
    <xf numFmtId="0" fontId="30" fillId="32" borderId="44" xfId="5" applyFont="1" applyFill="1" applyBorder="1" applyAlignment="1">
      <alignment vertical="center" wrapText="1"/>
    </xf>
    <xf numFmtId="0" fontId="40" fillId="35" borderId="6" xfId="0" applyFont="1" applyFill="1" applyBorder="1" applyAlignment="1">
      <alignment horizontal="center" vertical="center" wrapText="1"/>
    </xf>
    <xf numFmtId="9" fontId="51" fillId="0" borderId="71" xfId="0" applyNumberFormat="1" applyFont="1" applyBorder="1" applyAlignment="1">
      <alignment horizontal="center" vertical="center"/>
    </xf>
    <xf numFmtId="0" fontId="40" fillId="35" borderId="69" xfId="0" applyFont="1" applyFill="1" applyBorder="1" applyAlignment="1">
      <alignment horizontal="center" vertical="center" wrapText="1"/>
    </xf>
    <xf numFmtId="0" fontId="48" fillId="0" borderId="69" xfId="0" applyFont="1" applyBorder="1" applyAlignment="1">
      <alignment horizontal="center" vertical="center" wrapText="1"/>
    </xf>
    <xf numFmtId="9" fontId="30" fillId="3" borderId="43" xfId="3" applyFont="1" applyFill="1" applyBorder="1" applyAlignment="1">
      <alignment horizontal="center" vertical="center" wrapText="1"/>
    </xf>
    <xf numFmtId="164" fontId="30" fillId="0" borderId="43" xfId="5" applyNumberFormat="1" applyFont="1" applyBorder="1" applyAlignment="1">
      <alignment horizontal="center" vertical="center" wrapText="1"/>
    </xf>
    <xf numFmtId="172" fontId="30" fillId="3" borderId="44" xfId="5" applyNumberFormat="1" applyFont="1" applyFill="1" applyBorder="1" applyAlignment="1">
      <alignment horizontal="center" vertical="center" wrapText="1"/>
    </xf>
    <xf numFmtId="164" fontId="30" fillId="0" borderId="19" xfId="5" applyNumberFormat="1" applyFont="1" applyBorder="1" applyAlignment="1">
      <alignment horizontal="center" vertical="center" wrapText="1"/>
    </xf>
    <xf numFmtId="164" fontId="30" fillId="9" borderId="43" xfId="5" applyNumberFormat="1" applyFont="1" applyFill="1" applyBorder="1" applyAlignment="1">
      <alignment horizontal="center" vertical="center" wrapText="1"/>
    </xf>
    <xf numFmtId="165" fontId="33" fillId="28" borderId="44" xfId="4" applyNumberFormat="1" applyFont="1" applyFill="1" applyBorder="1" applyAlignment="1">
      <alignment vertical="center" wrapText="1"/>
    </xf>
    <xf numFmtId="0" fontId="40" fillId="38" borderId="6" xfId="0" applyFont="1" applyFill="1" applyBorder="1" applyAlignment="1">
      <alignment horizontal="center" vertical="center" wrapText="1"/>
    </xf>
    <xf numFmtId="9" fontId="40" fillId="38" borderId="70" xfId="0" applyNumberFormat="1" applyFont="1" applyFill="1" applyBorder="1" applyAlignment="1">
      <alignment horizontal="center" vertical="center"/>
    </xf>
    <xf numFmtId="9" fontId="40" fillId="38" borderId="71" xfId="0" applyNumberFormat="1" applyFont="1" applyFill="1" applyBorder="1" applyAlignment="1">
      <alignment horizontal="center" vertical="center"/>
    </xf>
    <xf numFmtId="10" fontId="30" fillId="0" borderId="25" xfId="3" applyNumberFormat="1" applyFont="1" applyFill="1" applyBorder="1" applyAlignment="1">
      <alignment horizontal="center" vertical="center" wrapText="1"/>
    </xf>
    <xf numFmtId="0" fontId="40" fillId="38" borderId="69" xfId="0" applyFont="1" applyFill="1" applyBorder="1" applyAlignment="1">
      <alignment horizontal="center" vertical="center" wrapText="1"/>
    </xf>
    <xf numFmtId="10" fontId="30" fillId="3" borderId="25" xfId="3" applyNumberFormat="1" applyFont="1" applyFill="1" applyBorder="1" applyAlignment="1">
      <alignment horizontal="center" vertical="center" wrapText="1"/>
    </xf>
    <xf numFmtId="9" fontId="30" fillId="0" borderId="0" xfId="3" applyFont="1" applyFill="1" applyAlignment="1">
      <alignment horizontal="center" vertical="center" wrapText="1"/>
    </xf>
    <xf numFmtId="9" fontId="30" fillId="0" borderId="0" xfId="3" applyFont="1" applyAlignment="1">
      <alignment horizontal="center" vertical="center" wrapText="1"/>
    </xf>
    <xf numFmtId="165" fontId="33" fillId="32" borderId="47" xfId="4" applyNumberFormat="1" applyFont="1" applyFill="1" applyBorder="1" applyAlignment="1">
      <alignment vertical="center" wrapText="1"/>
    </xf>
    <xf numFmtId="0" fontId="40" fillId="39" borderId="6" xfId="0" applyFont="1" applyFill="1" applyBorder="1" applyAlignment="1">
      <alignment horizontal="center" vertical="center" wrapText="1"/>
    </xf>
    <xf numFmtId="0" fontId="40" fillId="39" borderId="70" xfId="0" applyFont="1" applyFill="1" applyBorder="1" applyAlignment="1">
      <alignment horizontal="center" vertical="center"/>
    </xf>
    <xf numFmtId="0" fontId="40" fillId="39" borderId="71" xfId="0" applyFont="1" applyFill="1" applyBorder="1" applyAlignment="1">
      <alignment horizontal="center" vertical="center"/>
    </xf>
    <xf numFmtId="168" fontId="30" fillId="0" borderId="43" xfId="3" applyNumberFormat="1" applyFont="1" applyFill="1" applyBorder="1" applyAlignment="1">
      <alignment horizontal="center" vertical="center" wrapText="1"/>
    </xf>
    <xf numFmtId="0" fontId="33" fillId="0" borderId="19" xfId="5" applyFont="1" applyBorder="1" applyAlignment="1">
      <alignment horizontal="center" vertical="center" wrapText="1"/>
    </xf>
    <xf numFmtId="3" fontId="33" fillId="0" borderId="47" xfId="5" applyNumberFormat="1" applyFont="1" applyBorder="1" applyAlignment="1">
      <alignment vertical="center" wrapText="1"/>
    </xf>
    <xf numFmtId="165" fontId="33" fillId="0" borderId="81" xfId="4" applyNumberFormat="1" applyFont="1" applyFill="1" applyBorder="1" applyAlignment="1">
      <alignment vertical="center" wrapText="1"/>
    </xf>
    <xf numFmtId="9" fontId="30" fillId="0" borderId="47" xfId="3" applyFont="1" applyFill="1" applyBorder="1" applyAlignment="1">
      <alignment horizontal="center" vertical="center" wrapText="1"/>
    </xf>
    <xf numFmtId="165" fontId="33" fillId="0" borderId="47" xfId="4" applyNumberFormat="1" applyFont="1" applyFill="1" applyBorder="1" applyAlignment="1">
      <alignment vertical="center" wrapText="1"/>
    </xf>
    <xf numFmtId="0" fontId="40" fillId="39" borderId="69" xfId="0" applyFont="1" applyFill="1" applyBorder="1" applyAlignment="1">
      <alignment horizontal="center" vertical="center" wrapText="1"/>
    </xf>
    <xf numFmtId="9" fontId="40" fillId="39" borderId="70" xfId="0" applyNumberFormat="1" applyFont="1" applyFill="1" applyBorder="1" applyAlignment="1">
      <alignment horizontal="center" vertical="center"/>
    </xf>
    <xf numFmtId="0" fontId="30" fillId="0" borderId="41" xfId="5" applyFont="1" applyBorder="1" applyAlignment="1">
      <alignment vertical="center" wrapText="1"/>
    </xf>
    <xf numFmtId="9" fontId="40" fillId="39" borderId="71" xfId="0" applyNumberFormat="1" applyFont="1" applyFill="1" applyBorder="1" applyAlignment="1">
      <alignment horizontal="center" vertical="center"/>
    </xf>
    <xf numFmtId="0" fontId="40" fillId="40" borderId="70" xfId="0" applyFont="1" applyFill="1" applyBorder="1" applyAlignment="1">
      <alignment horizontal="center" vertical="center"/>
    </xf>
    <xf numFmtId="0" fontId="40" fillId="40" borderId="71" xfId="0" applyFont="1" applyFill="1" applyBorder="1" applyAlignment="1">
      <alignment horizontal="center" vertical="center"/>
    </xf>
    <xf numFmtId="0" fontId="33" fillId="28" borderId="46" xfId="5" applyFont="1" applyFill="1" applyBorder="1" applyAlignment="1">
      <alignment vertical="center" wrapText="1"/>
    </xf>
    <xf numFmtId="14" fontId="33" fillId="28" borderId="43" xfId="5" applyNumberFormat="1" applyFont="1" applyFill="1" applyBorder="1" applyAlignment="1">
      <alignment vertical="center" wrapText="1"/>
    </xf>
    <xf numFmtId="9" fontId="33" fillId="28" borderId="5" xfId="3" applyFont="1" applyFill="1" applyBorder="1" applyAlignment="1">
      <alignment horizontal="center" vertical="center" wrapText="1"/>
    </xf>
    <xf numFmtId="165" fontId="33" fillId="28" borderId="5" xfId="4" applyNumberFormat="1" applyFont="1" applyFill="1" applyBorder="1" applyAlignment="1">
      <alignment vertical="center" wrapText="1"/>
    </xf>
    <xf numFmtId="3" fontId="33" fillId="28" borderId="9" xfId="5" applyNumberFormat="1" applyFont="1" applyFill="1" applyBorder="1" applyAlignment="1">
      <alignment vertical="center" wrapText="1"/>
    </xf>
    <xf numFmtId="0" fontId="33" fillId="30" borderId="46" xfId="5" applyFont="1" applyFill="1" applyBorder="1" applyAlignment="1">
      <alignment vertical="center" wrapText="1"/>
    </xf>
    <xf numFmtId="0" fontId="33" fillId="30" borderId="46" xfId="5" applyFont="1" applyFill="1" applyBorder="1" applyAlignment="1">
      <alignment horizontal="center" vertical="center" wrapText="1"/>
    </xf>
    <xf numFmtId="165" fontId="33" fillId="30" borderId="47" xfId="4" applyNumberFormat="1" applyFont="1" applyFill="1" applyBorder="1" applyAlignment="1">
      <alignment vertical="center" wrapText="1"/>
    </xf>
    <xf numFmtId="0" fontId="33" fillId="32" borderId="46" xfId="5" applyFont="1" applyFill="1" applyBorder="1" applyAlignment="1">
      <alignment vertical="center" wrapText="1"/>
    </xf>
    <xf numFmtId="0" fontId="33" fillId="32" borderId="46" xfId="5" applyFont="1" applyFill="1" applyBorder="1" applyAlignment="1">
      <alignment horizontal="center" vertical="center" wrapText="1"/>
    </xf>
    <xf numFmtId="0" fontId="40" fillId="41" borderId="6" xfId="0" applyFont="1" applyFill="1" applyBorder="1" applyAlignment="1">
      <alignment horizontal="center" vertical="center" wrapText="1"/>
    </xf>
    <xf numFmtId="0" fontId="40" fillId="41" borderId="70" xfId="0" applyFont="1" applyFill="1" applyBorder="1" applyAlignment="1">
      <alignment horizontal="center" vertical="center"/>
    </xf>
    <xf numFmtId="0" fontId="40" fillId="41" borderId="71" xfId="0" applyFont="1" applyFill="1" applyBorder="1" applyAlignment="1">
      <alignment horizontal="center" vertical="center"/>
    </xf>
    <xf numFmtId="0" fontId="30" fillId="0" borderId="46" xfId="5" applyFont="1" applyBorder="1" applyAlignment="1">
      <alignment vertical="center" wrapText="1"/>
    </xf>
    <xf numFmtId="0" fontId="30" fillId="0" borderId="46" xfId="5" applyFont="1" applyBorder="1" applyAlignment="1">
      <alignment horizontal="center" vertical="center" wrapText="1"/>
    </xf>
    <xf numFmtId="0" fontId="40" fillId="41" borderId="69" xfId="0" applyFont="1" applyFill="1" applyBorder="1" applyAlignment="1">
      <alignment horizontal="center" vertical="center" wrapText="1"/>
    </xf>
    <xf numFmtId="9" fontId="40" fillId="41" borderId="70" xfId="0" applyNumberFormat="1" applyFont="1" applyFill="1" applyBorder="1" applyAlignment="1">
      <alignment horizontal="center" vertical="center"/>
    </xf>
    <xf numFmtId="9" fontId="40" fillId="41" borderId="71" xfId="0" applyNumberFormat="1" applyFont="1" applyFill="1" applyBorder="1" applyAlignment="1">
      <alignment horizontal="center" vertical="center"/>
    </xf>
    <xf numFmtId="0" fontId="40" fillId="42" borderId="69" xfId="0" applyFont="1" applyFill="1" applyBorder="1" applyAlignment="1">
      <alignment horizontal="center" vertical="center" wrapText="1"/>
    </xf>
    <xf numFmtId="0" fontId="40" fillId="42" borderId="70" xfId="0" applyFont="1" applyFill="1" applyBorder="1" applyAlignment="1">
      <alignment horizontal="center" vertical="center"/>
    </xf>
    <xf numFmtId="0" fontId="40" fillId="42" borderId="71" xfId="0" applyFont="1" applyFill="1" applyBorder="1" applyAlignment="1">
      <alignment horizontal="center" vertical="center"/>
    </xf>
    <xf numFmtId="3" fontId="30" fillId="0" borderId="49" xfId="5" applyNumberFormat="1" applyFont="1" applyBorder="1" applyAlignment="1">
      <alignment vertical="center" wrapText="1"/>
    </xf>
    <xf numFmtId="9" fontId="33" fillId="0" borderId="49" xfId="3" applyFont="1" applyBorder="1" applyAlignment="1">
      <alignment horizontal="center" vertical="center" wrapText="1"/>
    </xf>
    <xf numFmtId="3" fontId="33" fillId="0" borderId="48" xfId="5" applyNumberFormat="1" applyFont="1" applyBorder="1" applyAlignment="1">
      <alignment vertical="center" wrapText="1"/>
    </xf>
    <xf numFmtId="9" fontId="40" fillId="42" borderId="70" xfId="0" applyNumberFormat="1" applyFont="1" applyFill="1" applyBorder="1" applyAlignment="1">
      <alignment horizontal="center" vertical="center"/>
    </xf>
    <xf numFmtId="9" fontId="40" fillId="42" borderId="71" xfId="0" applyNumberFormat="1" applyFont="1" applyFill="1" applyBorder="1" applyAlignment="1">
      <alignment horizontal="center" vertical="center"/>
    </xf>
    <xf numFmtId="3" fontId="30" fillId="0" borderId="5" xfId="5" applyNumberFormat="1" applyFont="1" applyBorder="1" applyAlignment="1">
      <alignment vertical="center" wrapText="1"/>
    </xf>
    <xf numFmtId="9" fontId="33" fillId="0" borderId="5" xfId="3" applyFont="1" applyBorder="1" applyAlignment="1">
      <alignment horizontal="center" vertical="center" wrapText="1"/>
    </xf>
    <xf numFmtId="3" fontId="33" fillId="0" borderId="9" xfId="5" applyNumberFormat="1" applyFont="1" applyBorder="1" applyAlignment="1">
      <alignment vertical="center" wrapText="1"/>
    </xf>
    <xf numFmtId="169" fontId="32" fillId="0" borderId="84" xfId="0" applyNumberFormat="1" applyFont="1" applyBorder="1" applyAlignment="1">
      <alignment horizontal="right" vertical="center"/>
    </xf>
    <xf numFmtId="3" fontId="30" fillId="28" borderId="50" xfId="5" applyNumberFormat="1" applyFont="1" applyFill="1" applyBorder="1" applyAlignment="1">
      <alignment vertical="center" wrapText="1"/>
    </xf>
    <xf numFmtId="1" fontId="30" fillId="28" borderId="25" xfId="5" applyNumberFormat="1" applyFont="1" applyFill="1" applyBorder="1" applyAlignment="1">
      <alignment horizontal="center" vertical="center" wrapText="1"/>
    </xf>
    <xf numFmtId="1" fontId="30" fillId="28" borderId="50" xfId="5" applyNumberFormat="1" applyFont="1" applyFill="1" applyBorder="1" applyAlignment="1">
      <alignment horizontal="center" vertical="center" wrapText="1"/>
    </xf>
    <xf numFmtId="1" fontId="30" fillId="28" borderId="41" xfId="5" applyNumberFormat="1" applyFont="1" applyFill="1" applyBorder="1" applyAlignment="1">
      <alignment horizontal="center" vertical="center" wrapText="1"/>
    </xf>
    <xf numFmtId="0" fontId="30" fillId="28" borderId="46" xfId="5" applyFont="1" applyFill="1" applyBorder="1" applyAlignment="1">
      <alignment vertical="center" wrapText="1"/>
    </xf>
    <xf numFmtId="14" fontId="30" fillId="28" borderId="43" xfId="5" applyNumberFormat="1" applyFont="1" applyFill="1" applyBorder="1" applyAlignment="1">
      <alignment vertical="center" wrapText="1"/>
    </xf>
    <xf numFmtId="0" fontId="30" fillId="28" borderId="46" xfId="5" applyFont="1" applyFill="1" applyBorder="1" applyAlignment="1">
      <alignment horizontal="center" vertical="center" wrapText="1"/>
    </xf>
    <xf numFmtId="3" fontId="30" fillId="28" borderId="44" xfId="5" applyNumberFormat="1" applyFont="1" applyFill="1" applyBorder="1" applyAlignment="1">
      <alignment horizontal="center" vertical="center" wrapText="1"/>
    </xf>
    <xf numFmtId="10" fontId="33" fillId="28" borderId="50" xfId="3" applyNumberFormat="1" applyFont="1" applyFill="1" applyBorder="1" applyAlignment="1">
      <alignment horizontal="right" vertical="center" wrapText="1"/>
    </xf>
    <xf numFmtId="173" fontId="33" fillId="28" borderId="66" xfId="5" applyNumberFormat="1" applyFont="1" applyFill="1" applyBorder="1" applyAlignment="1">
      <alignment vertical="center" wrapText="1"/>
    </xf>
    <xf numFmtId="9" fontId="33" fillId="28" borderId="47" xfId="3" applyFont="1" applyFill="1" applyBorder="1" applyAlignment="1">
      <alignment horizontal="center" vertical="center" wrapText="1"/>
    </xf>
    <xf numFmtId="3" fontId="33" fillId="28" borderId="46" xfId="5" applyNumberFormat="1" applyFont="1" applyFill="1" applyBorder="1" applyAlignment="1">
      <alignment vertical="center" wrapText="1"/>
    </xf>
    <xf numFmtId="0" fontId="30" fillId="28" borderId="44" xfId="5" applyFont="1" applyFill="1" applyBorder="1" applyAlignment="1">
      <alignment vertical="center" wrapText="1"/>
    </xf>
    <xf numFmtId="0" fontId="30" fillId="0" borderId="68" xfId="0" applyFont="1" applyBorder="1" applyAlignment="1">
      <alignment horizontal="left" vertical="center" wrapText="1"/>
    </xf>
    <xf numFmtId="0" fontId="48" fillId="0" borderId="6" xfId="0" applyFont="1" applyBorder="1" applyAlignment="1">
      <alignment horizontal="center" vertical="center" wrapText="1"/>
    </xf>
    <xf numFmtId="0" fontId="40" fillId="43" borderId="70" xfId="0" applyFont="1" applyFill="1" applyBorder="1" applyAlignment="1">
      <alignment horizontal="center" vertical="center"/>
    </xf>
    <xf numFmtId="0" fontId="40" fillId="43" borderId="71" xfId="0" applyFont="1" applyFill="1" applyBorder="1" applyAlignment="1">
      <alignment horizontal="center" vertical="center"/>
    </xf>
    <xf numFmtId="9" fontId="40" fillId="43" borderId="70" xfId="0" applyNumberFormat="1" applyFont="1" applyFill="1" applyBorder="1" applyAlignment="1">
      <alignment horizontal="center" vertical="center"/>
    </xf>
    <xf numFmtId="9" fontId="40" fillId="43" borderId="71" xfId="0" applyNumberFormat="1" applyFont="1" applyFill="1" applyBorder="1" applyAlignment="1">
      <alignment horizontal="center" vertical="center"/>
    </xf>
    <xf numFmtId="0" fontId="30" fillId="9" borderId="46" xfId="5" applyFont="1" applyFill="1" applyBorder="1" applyAlignment="1">
      <alignment vertical="center" wrapText="1"/>
    </xf>
    <xf numFmtId="9" fontId="30" fillId="9" borderId="43" xfId="3" applyFont="1" applyFill="1" applyBorder="1" applyAlignment="1">
      <alignment horizontal="center" vertical="center" wrapText="1"/>
    </xf>
    <xf numFmtId="0" fontId="41" fillId="43" borderId="70" xfId="0" applyFont="1" applyFill="1" applyBorder="1" applyAlignment="1">
      <alignment horizontal="center" vertical="center"/>
    </xf>
    <xf numFmtId="0" fontId="41" fillId="43" borderId="71" xfId="0" applyFont="1" applyFill="1" applyBorder="1" applyAlignment="1">
      <alignment horizontal="center" vertical="center"/>
    </xf>
    <xf numFmtId="164" fontId="30" fillId="3" borderId="43" xfId="5" applyNumberFormat="1" applyFont="1" applyFill="1" applyBorder="1" applyAlignment="1">
      <alignment horizontal="center" vertical="center" wrapText="1"/>
    </xf>
    <xf numFmtId="0" fontId="40" fillId="0" borderId="68" xfId="0" applyFont="1" applyBorder="1" applyAlignment="1">
      <alignment vertical="center" wrapText="1"/>
    </xf>
    <xf numFmtId="9" fontId="41" fillId="43" borderId="70" xfId="0" applyNumberFormat="1" applyFont="1" applyFill="1" applyBorder="1" applyAlignment="1">
      <alignment horizontal="center" vertical="center"/>
    </xf>
    <xf numFmtId="9" fontId="41" fillId="43" borderId="71" xfId="0" applyNumberFormat="1" applyFont="1" applyFill="1" applyBorder="1" applyAlignment="1">
      <alignment horizontal="center" vertical="center"/>
    </xf>
    <xf numFmtId="9" fontId="40" fillId="44" borderId="70" xfId="0" applyNumberFormat="1" applyFont="1" applyFill="1" applyBorder="1" applyAlignment="1">
      <alignment horizontal="center" vertical="center"/>
    </xf>
    <xf numFmtId="9" fontId="40" fillId="44" borderId="71" xfId="0" applyNumberFormat="1" applyFont="1" applyFill="1" applyBorder="1" applyAlignment="1">
      <alignment horizontal="center" vertical="center"/>
    </xf>
    <xf numFmtId="165" fontId="30" fillId="0" borderId="81" xfId="4" applyNumberFormat="1" applyFont="1" applyFill="1" applyBorder="1" applyAlignment="1">
      <alignment vertical="center" wrapText="1"/>
    </xf>
    <xf numFmtId="165" fontId="30" fillId="0" borderId="47" xfId="4" applyNumberFormat="1" applyFont="1" applyFill="1" applyBorder="1" applyAlignment="1">
      <alignment vertical="center" wrapText="1"/>
    </xf>
    <xf numFmtId="9" fontId="30" fillId="0" borderId="47" xfId="3" applyFont="1" applyBorder="1" applyAlignment="1">
      <alignment horizontal="center" vertical="center" wrapText="1"/>
    </xf>
    <xf numFmtId="3" fontId="30" fillId="0" borderId="34" xfId="5" applyNumberFormat="1" applyFont="1" applyBorder="1" applyAlignment="1">
      <alignment vertical="center" wrapText="1"/>
    </xf>
    <xf numFmtId="0" fontId="40" fillId="44" borderId="70" xfId="0" applyFont="1" applyFill="1" applyBorder="1" applyAlignment="1">
      <alignment horizontal="center" vertical="center"/>
    </xf>
    <xf numFmtId="0" fontId="40" fillId="44" borderId="71" xfId="0" applyFont="1" applyFill="1" applyBorder="1" applyAlignment="1">
      <alignment horizontal="center" vertical="center"/>
    </xf>
    <xf numFmtId="0" fontId="30" fillId="0" borderId="48" xfId="5" applyFont="1" applyBorder="1" applyAlignment="1">
      <alignment horizontal="center" vertical="center" wrapText="1"/>
    </xf>
    <xf numFmtId="0" fontId="30" fillId="0" borderId="49" xfId="5" applyFont="1" applyBorder="1" applyAlignment="1">
      <alignment horizontal="center" vertical="center" wrapText="1"/>
    </xf>
    <xf numFmtId="3" fontId="33" fillId="32" borderId="50" xfId="5" applyNumberFormat="1" applyFont="1" applyFill="1" applyBorder="1" applyAlignment="1">
      <alignment horizontal="center" vertical="center" wrapText="1"/>
    </xf>
    <xf numFmtId="9" fontId="30" fillId="9" borderId="19" xfId="3" applyFont="1" applyFill="1" applyBorder="1" applyAlignment="1">
      <alignment horizontal="center" vertical="center" wrapText="1"/>
    </xf>
    <xf numFmtId="0" fontId="33" fillId="0" borderId="48" xfId="5" applyFont="1" applyBorder="1" applyAlignment="1">
      <alignment horizontal="center" vertical="center" wrapText="1"/>
    </xf>
    <xf numFmtId="0" fontId="33" fillId="0" borderId="46" xfId="5" applyFont="1" applyBorder="1" applyAlignment="1">
      <alignment horizontal="center" vertical="center" wrapText="1"/>
    </xf>
    <xf numFmtId="0" fontId="30" fillId="0" borderId="47" xfId="5" applyFont="1" applyBorder="1" applyAlignment="1">
      <alignment horizontal="center" vertical="center" wrapText="1"/>
    </xf>
    <xf numFmtId="2" fontId="30" fillId="0" borderId="43" xfId="3" applyNumberFormat="1" applyFont="1" applyFill="1" applyBorder="1" applyAlignment="1">
      <alignment horizontal="center" vertical="center" wrapText="1"/>
    </xf>
    <xf numFmtId="9" fontId="51" fillId="0" borderId="44" xfId="3" applyFont="1" applyFill="1" applyBorder="1" applyAlignment="1">
      <alignment horizontal="center" vertical="center" wrapText="1"/>
    </xf>
    <xf numFmtId="10" fontId="33" fillId="30" borderId="44" xfId="3" applyNumberFormat="1" applyFont="1" applyFill="1" applyBorder="1" applyAlignment="1">
      <alignment horizontal="center" vertical="center" wrapText="1"/>
    </xf>
    <xf numFmtId="0" fontId="51" fillId="0" borderId="68" xfId="0" applyFont="1" applyBorder="1" applyAlignment="1">
      <alignment vertical="center" wrapText="1"/>
    </xf>
    <xf numFmtId="0" fontId="48" fillId="0" borderId="85" xfId="0" applyFont="1" applyBorder="1" applyAlignment="1">
      <alignment horizontal="center" vertical="center" wrapText="1"/>
    </xf>
    <xf numFmtId="9" fontId="40" fillId="44" borderId="86" xfId="0" applyNumberFormat="1" applyFont="1" applyFill="1" applyBorder="1" applyAlignment="1">
      <alignment horizontal="center" vertical="center"/>
    </xf>
    <xf numFmtId="9" fontId="40" fillId="0" borderId="86" xfId="0" applyNumberFormat="1" applyFont="1" applyBorder="1" applyAlignment="1">
      <alignment horizontal="center" vertical="center"/>
    </xf>
    <xf numFmtId="166" fontId="35" fillId="45" borderId="55" xfId="4" applyNumberFormat="1" applyFont="1" applyFill="1" applyBorder="1" applyAlignment="1">
      <alignment horizontal="center" vertical="center"/>
    </xf>
    <xf numFmtId="10" fontId="30" fillId="0" borderId="49" xfId="3" applyNumberFormat="1" applyFont="1" applyFill="1" applyBorder="1" applyAlignment="1">
      <alignment horizontal="right" vertical="center" wrapText="1"/>
    </xf>
    <xf numFmtId="3" fontId="33" fillId="0" borderId="37" xfId="5" applyNumberFormat="1" applyFont="1" applyBorder="1" applyAlignment="1">
      <alignment vertical="center" wrapText="1"/>
    </xf>
    <xf numFmtId="0" fontId="30" fillId="0" borderId="47" xfId="5" applyFont="1" applyBorder="1" applyAlignment="1">
      <alignment vertical="center" wrapText="1"/>
    </xf>
    <xf numFmtId="0" fontId="59" fillId="13" borderId="7" xfId="5" applyFont="1" applyFill="1" applyBorder="1" applyAlignment="1">
      <alignment horizontal="center" vertical="center" wrapText="1"/>
    </xf>
    <xf numFmtId="168" fontId="59" fillId="13" borderId="7" xfId="5" applyNumberFormat="1" applyFont="1" applyFill="1" applyBorder="1" applyAlignment="1">
      <alignment horizontal="center" vertical="center" wrapText="1"/>
    </xf>
    <xf numFmtId="10" fontId="59" fillId="13" borderId="7" xfId="3" applyNumberFormat="1" applyFont="1" applyFill="1" applyBorder="1" applyAlignment="1">
      <alignment horizontal="center" vertical="center" wrapText="1"/>
    </xf>
    <xf numFmtId="0" fontId="59" fillId="13" borderId="12" xfId="5" applyFont="1" applyFill="1" applyBorder="1" applyAlignment="1">
      <alignment horizontal="center" vertical="center" wrapText="1"/>
    </xf>
    <xf numFmtId="9" fontId="59" fillId="3" borderId="7" xfId="3" applyFont="1" applyFill="1" applyBorder="1" applyAlignment="1">
      <alignment horizontal="center" vertical="center" wrapText="1"/>
    </xf>
    <xf numFmtId="10" fontId="59" fillId="13" borderId="12" xfId="3" applyNumberFormat="1" applyFont="1" applyFill="1" applyBorder="1" applyAlignment="1">
      <alignment horizontal="center" vertical="center" wrapText="1"/>
    </xf>
    <xf numFmtId="174" fontId="59" fillId="3" borderId="7" xfId="5" applyNumberFormat="1" applyFont="1" applyFill="1" applyBorder="1" applyAlignment="1">
      <alignment horizontal="center" vertical="center" wrapText="1"/>
    </xf>
    <xf numFmtId="174" fontId="59" fillId="46" borderId="7" xfId="5" applyNumberFormat="1" applyFont="1" applyFill="1" applyBorder="1" applyAlignment="1">
      <alignment horizontal="center" vertical="center" wrapText="1"/>
    </xf>
    <xf numFmtId="174" fontId="59" fillId="28" borderId="7" xfId="5" applyNumberFormat="1" applyFont="1" applyFill="1" applyBorder="1" applyAlignment="1">
      <alignment horizontal="center" vertical="center" wrapText="1"/>
    </xf>
    <xf numFmtId="10" fontId="60" fillId="3" borderId="12" xfId="3" applyNumberFormat="1" applyFont="1" applyFill="1" applyBorder="1" applyAlignment="1">
      <alignment horizontal="center" vertical="center" wrapText="1"/>
    </xf>
    <xf numFmtId="9" fontId="61" fillId="3" borderId="12" xfId="3" applyFont="1" applyFill="1" applyBorder="1" applyAlignment="1">
      <alignment horizontal="center" vertical="center" wrapText="1"/>
    </xf>
    <xf numFmtId="165" fontId="61" fillId="13" borderId="12" xfId="4" applyNumberFormat="1" applyFont="1" applyFill="1" applyBorder="1" applyAlignment="1">
      <alignment vertical="center" wrapText="1"/>
    </xf>
    <xf numFmtId="174" fontId="59" fillId="13" borderId="7" xfId="5" applyNumberFormat="1" applyFont="1" applyFill="1" applyBorder="1" applyAlignment="1">
      <alignment horizontal="center" vertical="center" wrapText="1"/>
    </xf>
    <xf numFmtId="9" fontId="61" fillId="13" borderId="12" xfId="3" applyFont="1" applyFill="1" applyBorder="1" applyAlignment="1">
      <alignment horizontal="center" vertical="center" wrapText="1"/>
    </xf>
    <xf numFmtId="10" fontId="61" fillId="13" borderId="12" xfId="3" applyNumberFormat="1" applyFont="1" applyFill="1" applyBorder="1" applyAlignment="1">
      <alignment vertical="center" wrapText="1"/>
    </xf>
    <xf numFmtId="3" fontId="61" fillId="32" borderId="12" xfId="5" applyNumberFormat="1" applyFont="1" applyFill="1" applyBorder="1" applyAlignment="1">
      <alignment vertical="center" wrapText="1"/>
    </xf>
    <xf numFmtId="0" fontId="62" fillId="32" borderId="15" xfId="5" applyFont="1" applyFill="1" applyBorder="1" applyAlignment="1">
      <alignment vertical="center" wrapText="1"/>
    </xf>
    <xf numFmtId="0" fontId="62" fillId="32" borderId="12" xfId="5" applyFont="1" applyFill="1" applyBorder="1" applyAlignment="1">
      <alignment vertical="center" wrapText="1"/>
    </xf>
    <xf numFmtId="0" fontId="62" fillId="32" borderId="7" xfId="5" applyFont="1" applyFill="1" applyBorder="1" applyAlignment="1">
      <alignment vertical="center" wrapText="1"/>
    </xf>
    <xf numFmtId="0" fontId="62" fillId="0" borderId="0" xfId="5" applyFont="1" applyAlignment="1">
      <alignment vertical="center" wrapText="1"/>
    </xf>
    <xf numFmtId="0" fontId="30" fillId="0" borderId="0" xfId="5" applyFont="1" applyAlignment="1">
      <alignment horizontal="right" vertical="center" wrapText="1"/>
    </xf>
    <xf numFmtId="0" fontId="33" fillId="0" borderId="0" xfId="5" applyFont="1" applyAlignment="1">
      <alignment horizontal="right" vertical="center"/>
    </xf>
    <xf numFmtId="0" fontId="33" fillId="0" borderId="0" xfId="5" applyFont="1" applyAlignment="1">
      <alignment horizontal="center" vertical="center" wrapText="1"/>
    </xf>
    <xf numFmtId="0" fontId="33" fillId="0" borderId="0" xfId="5" applyFont="1" applyAlignment="1">
      <alignment horizontal="left" vertical="center" wrapText="1"/>
    </xf>
    <xf numFmtId="0" fontId="33" fillId="20" borderId="55" xfId="0" applyFont="1" applyFill="1" applyBorder="1" applyAlignment="1">
      <alignment vertical="center" wrapText="1"/>
    </xf>
    <xf numFmtId="166" fontId="33" fillId="20" borderId="55" xfId="4" applyNumberFormat="1" applyFont="1" applyFill="1" applyBorder="1" applyAlignment="1">
      <alignment horizontal="center" vertical="center"/>
    </xf>
    <xf numFmtId="167" fontId="33" fillId="20" borderId="55" xfId="4" applyNumberFormat="1" applyFont="1" applyFill="1" applyBorder="1" applyAlignment="1">
      <alignment horizontal="center" vertical="center"/>
    </xf>
    <xf numFmtId="0" fontId="22" fillId="0" borderId="0" xfId="0" applyFont="1" applyAlignment="1">
      <alignment horizontal="center" vertical="center"/>
    </xf>
    <xf numFmtId="0" fontId="39" fillId="47" borderId="55" xfId="0" applyFont="1" applyFill="1" applyBorder="1" applyAlignment="1">
      <alignment horizontal="center" vertical="center"/>
    </xf>
    <xf numFmtId="49" fontId="36" fillId="47" borderId="55" xfId="0" applyNumberFormat="1" applyFont="1" applyFill="1" applyBorder="1" applyAlignment="1">
      <alignment horizontal="center" vertical="center"/>
    </xf>
    <xf numFmtId="0" fontId="65" fillId="47" borderId="16" xfId="0" applyFont="1" applyFill="1" applyBorder="1" applyAlignment="1">
      <alignment horizontal="justify" vertical="center" wrapText="1"/>
    </xf>
    <xf numFmtId="169" fontId="65" fillId="47" borderId="16" xfId="0" applyNumberFormat="1" applyFont="1" applyFill="1" applyBorder="1" applyAlignment="1">
      <alignment horizontal="right" vertical="center" wrapText="1"/>
    </xf>
    <xf numFmtId="167" fontId="33" fillId="48" borderId="55" xfId="4" applyNumberFormat="1" applyFont="1" applyFill="1" applyBorder="1" applyAlignment="1">
      <alignment horizontal="center" vertical="center"/>
    </xf>
    <xf numFmtId="0" fontId="38" fillId="49" borderId="53" xfId="0" applyFont="1" applyFill="1" applyBorder="1" applyAlignment="1">
      <alignment horizontal="left" vertical="center"/>
    </xf>
    <xf numFmtId="0" fontId="36" fillId="50" borderId="55" xfId="0" applyFont="1" applyFill="1" applyBorder="1" applyAlignment="1">
      <alignment horizontal="center" vertical="center"/>
    </xf>
    <xf numFmtId="49" fontId="36" fillId="50" borderId="55" xfId="0" applyNumberFormat="1" applyFont="1" applyFill="1" applyBorder="1" applyAlignment="1">
      <alignment horizontal="center" vertical="center"/>
    </xf>
    <xf numFmtId="0" fontId="65" fillId="51" borderId="16" xfId="5" applyFont="1" applyFill="1" applyBorder="1" applyAlignment="1">
      <alignment horizontal="justify" vertical="center" wrapText="1"/>
    </xf>
    <xf numFmtId="169" fontId="65" fillId="51" borderId="16" xfId="5" applyNumberFormat="1" applyFont="1" applyFill="1" applyBorder="1" applyAlignment="1">
      <alignment horizontal="right" vertical="center" wrapText="1"/>
    </xf>
    <xf numFmtId="167" fontId="33" fillId="52" borderId="55" xfId="4" applyNumberFormat="1" applyFont="1" applyFill="1" applyBorder="1" applyAlignment="1">
      <alignment horizontal="center" vertical="center"/>
    </xf>
    <xf numFmtId="0" fontId="38" fillId="51" borderId="53" xfId="0" applyFont="1" applyFill="1" applyBorder="1" applyAlignment="1">
      <alignment horizontal="left" vertical="center"/>
    </xf>
    <xf numFmtId="0" fontId="39" fillId="53" borderId="55" xfId="0" applyFont="1" applyFill="1" applyBorder="1" applyAlignment="1">
      <alignment horizontal="center" vertical="center"/>
    </xf>
    <xf numFmtId="0" fontId="66" fillId="54" borderId="16" xfId="0" applyFont="1" applyFill="1" applyBorder="1" applyAlignment="1">
      <alignment horizontal="justify" vertical="center" wrapText="1"/>
    </xf>
    <xf numFmtId="169" fontId="65" fillId="54" borderId="16" xfId="0" applyNumberFormat="1" applyFont="1" applyFill="1" applyBorder="1" applyAlignment="1">
      <alignment horizontal="right" vertical="center" wrapText="1"/>
    </xf>
    <xf numFmtId="167" fontId="33" fillId="55" borderId="55" xfId="4" applyNumberFormat="1" applyFont="1" applyFill="1" applyBorder="1" applyAlignment="1">
      <alignment horizontal="center" vertical="center"/>
    </xf>
    <xf numFmtId="0" fontId="38" fillId="56" borderId="53" xfId="0" applyFont="1" applyFill="1" applyBorder="1" applyAlignment="1">
      <alignment horizontal="left" vertical="center"/>
    </xf>
    <xf numFmtId="0" fontId="67" fillId="0" borderId="16" xfId="5" applyFont="1" applyBorder="1" applyAlignment="1">
      <alignment horizontal="left" vertical="center" wrapText="1"/>
    </xf>
    <xf numFmtId="169" fontId="68" fillId="0" borderId="16" xfId="5" applyNumberFormat="1" applyFont="1" applyBorder="1" applyAlignment="1">
      <alignment horizontal="right" vertical="center" wrapText="1"/>
    </xf>
    <xf numFmtId="167" fontId="33" fillId="57" borderId="55" xfId="4" applyNumberFormat="1" applyFont="1" applyFill="1" applyBorder="1" applyAlignment="1">
      <alignment horizontal="center" vertical="center"/>
    </xf>
    <xf numFmtId="0" fontId="39" fillId="9" borderId="55" xfId="0" applyFont="1" applyFill="1" applyBorder="1" applyAlignment="1">
      <alignment horizontal="center" vertical="center"/>
    </xf>
    <xf numFmtId="49" fontId="39" fillId="9" borderId="55" xfId="0" applyNumberFormat="1" applyFont="1" applyFill="1" applyBorder="1" applyAlignment="1">
      <alignment horizontal="center" vertical="center"/>
    </xf>
    <xf numFmtId="0" fontId="30" fillId="0" borderId="55" xfId="0" quotePrefix="1" applyFont="1" applyBorder="1" applyAlignment="1">
      <alignment horizontal="center" vertical="center"/>
    </xf>
    <xf numFmtId="0" fontId="30" fillId="53" borderId="55" xfId="0" quotePrefix="1" applyFont="1" applyFill="1" applyBorder="1" applyAlignment="1">
      <alignment horizontal="center"/>
    </xf>
    <xf numFmtId="0" fontId="30" fillId="53" borderId="55" xfId="0" quotePrefix="1" applyFont="1" applyFill="1" applyBorder="1" applyAlignment="1">
      <alignment horizontal="left"/>
    </xf>
    <xf numFmtId="0" fontId="39" fillId="58" borderId="55" xfId="0" applyFont="1" applyFill="1" applyBorder="1" applyAlignment="1">
      <alignment horizontal="center" vertical="center"/>
    </xf>
    <xf numFmtId="0" fontId="30" fillId="58" borderId="55" xfId="0" quotePrefix="1" applyFont="1" applyFill="1" applyBorder="1" applyAlignment="1">
      <alignment horizontal="center" vertical="center"/>
    </xf>
    <xf numFmtId="0" fontId="30" fillId="58" borderId="55" xfId="0" quotePrefix="1" applyFont="1" applyFill="1" applyBorder="1" applyAlignment="1">
      <alignment horizontal="left" vertical="center"/>
    </xf>
    <xf numFmtId="0" fontId="39" fillId="53" borderId="55" xfId="0" quotePrefix="1" applyFont="1" applyFill="1" applyBorder="1" applyAlignment="1">
      <alignment horizontal="center" vertical="center"/>
    </xf>
    <xf numFmtId="0" fontId="36" fillId="0" borderId="55" xfId="0" applyFont="1" applyBorder="1" applyAlignment="1">
      <alignment horizontal="center" vertical="center"/>
    </xf>
    <xf numFmtId="49" fontId="39" fillId="56" borderId="55" xfId="0" applyNumberFormat="1" applyFont="1" applyFill="1" applyBorder="1" applyAlignment="1">
      <alignment horizontal="center" vertical="center"/>
    </xf>
    <xf numFmtId="0" fontId="67" fillId="0" borderId="16" xfId="5" applyFont="1" applyBorder="1" applyAlignment="1">
      <alignment vertical="center" wrapText="1"/>
    </xf>
    <xf numFmtId="0" fontId="39" fillId="0" borderId="55" xfId="0" quotePrefix="1" applyFont="1" applyBorder="1" applyAlignment="1">
      <alignment horizontal="center" vertical="center"/>
    </xf>
    <xf numFmtId="49" fontId="36" fillId="56" borderId="55" xfId="0" applyNumberFormat="1" applyFont="1" applyFill="1" applyBorder="1" applyAlignment="1">
      <alignment horizontal="center" vertical="center"/>
    </xf>
    <xf numFmtId="0" fontId="0" fillId="0" borderId="0" xfId="0" applyAlignment="1">
      <alignment vertical="center" wrapText="1"/>
    </xf>
    <xf numFmtId="0" fontId="38" fillId="0" borderId="53" xfId="0" applyFont="1" applyFill="1" applyBorder="1" applyAlignment="1">
      <alignment horizontal="left" vertical="center"/>
    </xf>
    <xf numFmtId="0" fontId="67" fillId="0" borderId="16" xfId="0" applyFont="1" applyFill="1" applyBorder="1" applyAlignment="1">
      <alignment horizontal="justify" vertical="center" wrapText="1"/>
    </xf>
    <xf numFmtId="169" fontId="68" fillId="0" borderId="16" xfId="0" applyNumberFormat="1" applyFont="1" applyFill="1" applyBorder="1" applyAlignment="1">
      <alignment horizontal="right" vertical="center" wrapText="1"/>
    </xf>
    <xf numFmtId="167" fontId="30" fillId="0" borderId="55" xfId="4" applyNumberFormat="1" applyFont="1" applyFill="1" applyBorder="1" applyAlignment="1">
      <alignment horizontal="center" vertical="center"/>
    </xf>
    <xf numFmtId="0" fontId="0" fillId="0" borderId="0" xfId="0" applyFont="1" applyFill="1" applyAlignment="1">
      <alignment vertical="center"/>
    </xf>
    <xf numFmtId="0" fontId="36" fillId="56" borderId="55" xfId="0" applyFont="1" applyFill="1" applyBorder="1" applyAlignment="1">
      <alignment horizontal="center" vertical="center"/>
    </xf>
    <xf numFmtId="0" fontId="66" fillId="56" borderId="16" xfId="5" applyFont="1" applyFill="1" applyBorder="1" applyAlignment="1">
      <alignment horizontal="left" vertical="center" wrapText="1"/>
    </xf>
    <xf numFmtId="169" fontId="65" fillId="56" borderId="16" xfId="5" applyNumberFormat="1" applyFont="1" applyFill="1" applyBorder="1" applyAlignment="1">
      <alignment horizontal="right" vertical="center" wrapText="1"/>
    </xf>
    <xf numFmtId="0" fontId="34" fillId="56" borderId="53" xfId="0" applyFont="1" applyFill="1" applyBorder="1" applyAlignment="1">
      <alignment horizontal="left" vertical="center"/>
    </xf>
    <xf numFmtId="0" fontId="22" fillId="0" borderId="0" xfId="0" applyFont="1" applyAlignment="1">
      <alignment vertical="center"/>
    </xf>
    <xf numFmtId="0" fontId="68" fillId="0" borderId="16" xfId="0" applyFont="1" applyFill="1" applyBorder="1" applyAlignment="1">
      <alignment horizontal="justify" vertical="center" wrapText="1"/>
    </xf>
    <xf numFmtId="0" fontId="30" fillId="0" borderId="55" xfId="0" quotePrefix="1" applyFont="1" applyFill="1" applyBorder="1" applyAlignment="1">
      <alignment horizontal="center"/>
    </xf>
    <xf numFmtId="0" fontId="30" fillId="0" borderId="55" xfId="0" quotePrefix="1" applyFont="1" applyFill="1" applyBorder="1" applyAlignment="1">
      <alignment horizontal="left"/>
    </xf>
    <xf numFmtId="0" fontId="39" fillId="0" borderId="55" xfId="0" quotePrefix="1" applyFont="1" applyFill="1" applyBorder="1" applyAlignment="1">
      <alignment horizontal="center" vertical="center"/>
    </xf>
    <xf numFmtId="0" fontId="30" fillId="58" borderId="55" xfId="0" quotePrefix="1" applyFont="1" applyFill="1" applyBorder="1" applyAlignment="1">
      <alignment horizontal="center"/>
    </xf>
    <xf numFmtId="0" fontId="30" fillId="58" borderId="55" xfId="0" quotePrefix="1" applyFont="1" applyFill="1" applyBorder="1" applyAlignment="1">
      <alignment horizontal="left"/>
    </xf>
    <xf numFmtId="0" fontId="38" fillId="9" borderId="53" xfId="0" applyFont="1" applyFill="1" applyBorder="1" applyAlignment="1">
      <alignment horizontal="left" vertical="center"/>
    </xf>
    <xf numFmtId="0" fontId="67" fillId="45" borderId="16" xfId="0" applyFont="1" applyFill="1" applyBorder="1" applyAlignment="1">
      <alignment horizontal="justify" vertical="center" wrapText="1"/>
    </xf>
    <xf numFmtId="169" fontId="68" fillId="45" borderId="16" xfId="0" applyNumberFormat="1" applyFont="1" applyFill="1" applyBorder="1" applyAlignment="1">
      <alignment horizontal="right" vertical="center" wrapText="1"/>
    </xf>
    <xf numFmtId="167" fontId="30" fillId="57" borderId="55" xfId="4" applyNumberFormat="1" applyFont="1" applyFill="1" applyBorder="1" applyAlignment="1">
      <alignment horizontal="center" vertical="center"/>
    </xf>
    <xf numFmtId="0" fontId="0" fillId="9" borderId="0" xfId="0" applyFont="1" applyFill="1" applyAlignment="1">
      <alignment vertical="center"/>
    </xf>
    <xf numFmtId="0" fontId="68" fillId="0" borderId="16" xfId="5" applyFont="1" applyFill="1" applyBorder="1" applyAlignment="1">
      <alignment horizontal="justify" vertical="center" wrapText="1"/>
    </xf>
    <xf numFmtId="169" fontId="68" fillId="0" borderId="16" xfId="5" applyNumberFormat="1" applyFont="1" applyFill="1" applyBorder="1" applyAlignment="1">
      <alignment horizontal="right" vertical="center" wrapText="1"/>
    </xf>
    <xf numFmtId="0" fontId="67" fillId="0" borderId="16" xfId="5" applyFont="1" applyFill="1" applyBorder="1" applyAlignment="1">
      <alignment horizontal="left" vertical="center" wrapText="1"/>
    </xf>
    <xf numFmtId="0" fontId="24" fillId="0" borderId="16" xfId="2" applyFont="1" applyBorder="1" applyAlignment="1" applyProtection="1">
      <alignment horizontal="left" vertical="center" wrapText="1"/>
    </xf>
    <xf numFmtId="0" fontId="7" fillId="6" borderId="16" xfId="3" applyNumberFormat="1" applyFont="1" applyFill="1" applyBorder="1" applyAlignment="1" applyProtection="1">
      <alignment horizontal="left" vertical="center" wrapText="1"/>
      <protection hidden="1"/>
    </xf>
    <xf numFmtId="0" fontId="7" fillId="6" borderId="18" xfId="3" applyNumberFormat="1" applyFont="1" applyFill="1" applyBorder="1" applyAlignment="1" applyProtection="1">
      <alignment horizontal="left" vertical="center" wrapText="1"/>
      <protection hidden="1"/>
    </xf>
    <xf numFmtId="0" fontId="31" fillId="12" borderId="3" xfId="5" applyFont="1" applyFill="1" applyBorder="1" applyAlignment="1">
      <alignment vertical="center" wrapText="1"/>
    </xf>
    <xf numFmtId="0" fontId="0" fillId="6" borderId="16" xfId="3" applyNumberFormat="1" applyFont="1" applyFill="1" applyBorder="1" applyAlignment="1" applyProtection="1">
      <alignment horizontal="left" vertical="center" wrapText="1"/>
    </xf>
    <xf numFmtId="9" fontId="0" fillId="0" borderId="16" xfId="3" applyFont="1" applyBorder="1" applyAlignment="1" applyProtection="1">
      <alignment horizontal="center" vertical="center" wrapText="1"/>
      <protection locked="0"/>
    </xf>
    <xf numFmtId="0" fontId="0" fillId="0" borderId="16" xfId="0" applyBorder="1" applyAlignment="1" applyProtection="1">
      <alignment horizontal="center" vertical="center" wrapText="1"/>
    </xf>
    <xf numFmtId="9" fontId="0" fillId="6" borderId="0" xfId="3" applyFont="1" applyFill="1" applyAlignment="1" applyProtection="1">
      <alignment horizontal="center" vertical="center" wrapText="1"/>
      <protection hidden="1"/>
    </xf>
    <xf numFmtId="9" fontId="0" fillId="6" borderId="16" xfId="3" applyFont="1" applyFill="1" applyBorder="1" applyAlignment="1" applyProtection="1">
      <alignment horizontal="center" vertical="center" wrapText="1"/>
      <protection hidden="1"/>
    </xf>
    <xf numFmtId="0" fontId="69" fillId="0" borderId="0" xfId="0" applyFont="1" applyProtection="1"/>
    <xf numFmtId="0" fontId="69" fillId="0" borderId="0" xfId="0" applyFont="1"/>
    <xf numFmtId="0" fontId="4" fillId="0" borderId="14" xfId="0" applyFont="1" applyBorder="1" applyAlignment="1" applyProtection="1">
      <alignment vertical="top" wrapText="1"/>
      <protection locked="0"/>
    </xf>
    <xf numFmtId="0" fontId="22" fillId="0" borderId="0" xfId="0" applyFont="1" applyAlignment="1" applyProtection="1">
      <alignment horizontal="center" vertical="center"/>
    </xf>
    <xf numFmtId="0" fontId="29" fillId="0" borderId="5"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7" xfId="0" applyFont="1" applyBorder="1" applyAlignment="1" applyProtection="1">
      <alignment horizontal="center" vertical="center" wrapText="1"/>
    </xf>
    <xf numFmtId="0" fontId="22" fillId="0" borderId="1" xfId="0" applyFont="1" applyBorder="1" applyAlignment="1" applyProtection="1">
      <alignment horizontal="center" vertical="center"/>
    </xf>
    <xf numFmtId="0" fontId="29" fillId="0" borderId="5" xfId="0" applyFont="1" applyBorder="1" applyAlignment="1" applyProtection="1">
      <alignment horizontal="center" vertical="center" wrapText="1"/>
    </xf>
    <xf numFmtId="0" fontId="3" fillId="0" borderId="8" xfId="0" applyFont="1" applyBorder="1" applyAlignment="1" applyProtection="1">
      <alignment horizontal="center" vertical="center" wrapText="1"/>
      <protection locked="0"/>
    </xf>
    <xf numFmtId="0" fontId="29" fillId="0" borderId="7" xfId="0" applyFont="1" applyBorder="1" applyAlignment="1" applyProtection="1">
      <alignment horizontal="center" vertical="center" wrapText="1"/>
    </xf>
    <xf numFmtId="0" fontId="22" fillId="0" borderId="0" xfId="0" applyFont="1" applyAlignment="1" applyProtection="1">
      <alignment horizontal="center" vertical="center"/>
      <protection locked="0"/>
    </xf>
    <xf numFmtId="0" fontId="22" fillId="0" borderId="6" xfId="0" applyFont="1" applyBorder="1" applyAlignment="1" applyProtection="1">
      <alignment horizontal="center" vertical="center"/>
      <protection locked="0"/>
    </xf>
    <xf numFmtId="0" fontId="22" fillId="9" borderId="0" xfId="0" applyFont="1" applyFill="1" applyAlignment="1" applyProtection="1">
      <alignment vertical="top" wrapText="1"/>
      <protection locked="0"/>
    </xf>
    <xf numFmtId="0" fontId="71" fillId="9" borderId="0" xfId="0" applyFont="1" applyFill="1" applyBorder="1" applyAlignment="1" applyProtection="1">
      <alignment vertical="top" wrapText="1"/>
      <protection locked="0"/>
    </xf>
    <xf numFmtId="0" fontId="14" fillId="9" borderId="0" xfId="0" applyFont="1" applyFill="1" applyBorder="1" applyAlignment="1" applyProtection="1">
      <alignment vertical="top" wrapText="1"/>
      <protection locked="0"/>
    </xf>
    <xf numFmtId="0" fontId="14" fillId="9" borderId="27" xfId="0" applyFont="1" applyFill="1" applyBorder="1" applyAlignment="1" applyProtection="1">
      <alignment vertical="top" wrapText="1"/>
      <protection locked="0"/>
    </xf>
    <xf numFmtId="0" fontId="72" fillId="6" borderId="18" xfId="1" applyFont="1" applyFill="1" applyBorder="1" applyAlignment="1" applyProtection="1">
      <alignment vertical="top"/>
    </xf>
    <xf numFmtId="9" fontId="22" fillId="6" borderId="12" xfId="0" applyNumberFormat="1" applyFont="1" applyFill="1" applyBorder="1" applyAlignment="1" applyProtection="1">
      <alignment horizontal="center" vertical="top"/>
    </xf>
    <xf numFmtId="0" fontId="0" fillId="9" borderId="0" xfId="0" applyFill="1" applyBorder="1" applyAlignment="1" applyProtection="1">
      <alignment vertical="top"/>
      <protection hidden="1"/>
    </xf>
    <xf numFmtId="0" fontId="0" fillId="0" borderId="0" xfId="0" applyFill="1" applyBorder="1" applyAlignment="1" applyProtection="1">
      <alignment vertical="top" wrapText="1"/>
      <protection locked="0"/>
    </xf>
    <xf numFmtId="0" fontId="3" fillId="3" borderId="16" xfId="0" applyFont="1" applyFill="1" applyBorder="1" applyAlignment="1" applyProtection="1">
      <alignment horizontal="left" vertical="top" wrapText="1"/>
      <protection locked="0"/>
    </xf>
    <xf numFmtId="0" fontId="74" fillId="3" borderId="16" xfId="0" applyFont="1" applyFill="1" applyBorder="1" applyAlignment="1" applyProtection="1">
      <alignment horizontal="left" vertical="top"/>
      <protection locked="0"/>
    </xf>
    <xf numFmtId="0" fontId="0" fillId="9" borderId="0" xfId="0" applyFill="1" applyAlignment="1" applyProtection="1">
      <alignment vertical="top" wrapText="1"/>
      <protection locked="0"/>
    </xf>
    <xf numFmtId="0" fontId="4" fillId="3" borderId="16" xfId="0" applyFont="1" applyFill="1" applyBorder="1" applyAlignment="1" applyProtection="1">
      <alignment horizontal="left" vertical="top" wrapText="1"/>
      <protection locked="0"/>
    </xf>
    <xf numFmtId="0" fontId="7" fillId="3" borderId="16" xfId="0" applyFont="1" applyFill="1" applyBorder="1" applyAlignment="1" applyProtection="1">
      <alignment horizontal="left" vertical="top"/>
      <protection locked="0"/>
    </xf>
    <xf numFmtId="0" fontId="0" fillId="9" borderId="0" xfId="0" applyFill="1" applyBorder="1" applyAlignment="1" applyProtection="1">
      <alignment vertical="top" wrapText="1"/>
      <protection locked="0"/>
    </xf>
    <xf numFmtId="0" fontId="4" fillId="0" borderId="16" xfId="0" applyFont="1" applyBorder="1" applyAlignment="1" applyProtection="1">
      <alignment horizontal="center" vertical="top" wrapText="1"/>
    </xf>
    <xf numFmtId="0" fontId="5" fillId="0" borderId="16" xfId="0" applyFont="1" applyBorder="1" applyAlignment="1" applyProtection="1">
      <alignment vertical="top" wrapText="1"/>
    </xf>
    <xf numFmtId="0" fontId="4" fillId="0" borderId="16" xfId="0" applyFont="1" applyBorder="1" applyAlignment="1" applyProtection="1">
      <alignment vertical="top" wrapText="1"/>
      <protection locked="0"/>
    </xf>
    <xf numFmtId="0" fontId="4" fillId="0" borderId="16" xfId="0" applyFont="1" applyBorder="1" applyAlignment="1" applyProtection="1">
      <alignment vertical="top" wrapText="1"/>
    </xf>
    <xf numFmtId="0" fontId="4" fillId="5" borderId="16" xfId="0" applyFont="1" applyFill="1" applyBorder="1" applyAlignment="1" applyProtection="1">
      <alignment vertical="top" wrapText="1"/>
      <protection locked="0"/>
    </xf>
    <xf numFmtId="0" fontId="7" fillId="3" borderId="37" xfId="0" applyFont="1" applyFill="1" applyBorder="1" applyAlignment="1" applyProtection="1">
      <alignment horizontal="center" vertical="top"/>
      <protection locked="0"/>
    </xf>
    <xf numFmtId="0" fontId="4" fillId="0" borderId="16" xfId="0" applyFont="1" applyBorder="1" applyAlignment="1" applyProtection="1">
      <alignment horizontal="center" vertical="top"/>
    </xf>
    <xf numFmtId="0" fontId="5" fillId="0" borderId="16" xfId="0" applyFont="1" applyBorder="1" applyAlignment="1" applyProtection="1">
      <alignment vertical="top"/>
    </xf>
    <xf numFmtId="0" fontId="4" fillId="0" borderId="16" xfId="0" applyFont="1" applyBorder="1" applyAlignment="1" applyProtection="1">
      <alignment vertical="top"/>
    </xf>
    <xf numFmtId="0" fontId="4" fillId="3" borderId="8" xfId="0" applyFont="1" applyFill="1" applyBorder="1" applyAlignment="1" applyProtection="1">
      <alignment vertical="center" wrapText="1"/>
      <protection locked="0"/>
    </xf>
    <xf numFmtId="0" fontId="29" fillId="0" borderId="4" xfId="0" applyFont="1" applyBorder="1" applyAlignment="1">
      <alignment horizontal="center" vertical="center" wrapText="1"/>
    </xf>
    <xf numFmtId="0" fontId="29" fillId="0" borderId="8" xfId="0" applyFont="1" applyBorder="1" applyAlignment="1">
      <alignment horizontal="center" vertical="center" wrapText="1"/>
    </xf>
    <xf numFmtId="0" fontId="5" fillId="0" borderId="11" xfId="0" applyFont="1" applyBorder="1" applyAlignment="1" applyProtection="1">
      <alignment vertical="top" wrapText="1"/>
      <protection locked="0"/>
    </xf>
    <xf numFmtId="0" fontId="4" fillId="0" borderId="11" xfId="0" applyFont="1" applyBorder="1" applyAlignment="1" applyProtection="1">
      <alignment vertical="top" wrapText="1"/>
      <protection locked="0"/>
    </xf>
    <xf numFmtId="0" fontId="7" fillId="0" borderId="16" xfId="0" applyFont="1" applyBorder="1" applyAlignment="1" applyProtection="1">
      <alignment vertical="top" wrapText="1"/>
      <protection locked="0"/>
    </xf>
    <xf numFmtId="3" fontId="30" fillId="60" borderId="43" xfId="5" applyNumberFormat="1" applyFont="1" applyFill="1" applyBorder="1" applyAlignment="1">
      <alignment horizontal="center" vertical="center" wrapText="1"/>
    </xf>
    <xf numFmtId="0" fontId="29" fillId="0" borderId="6" xfId="0" applyFont="1" applyBorder="1" applyAlignment="1">
      <alignment horizontal="center" vertical="center" wrapText="1"/>
    </xf>
    <xf numFmtId="3" fontId="4" fillId="4" borderId="13" xfId="0" applyNumberFormat="1" applyFont="1" applyFill="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horizontal="center" vertical="center" wrapText="1"/>
    </xf>
    <xf numFmtId="0" fontId="3" fillId="3" borderId="7" xfId="0" applyFont="1" applyFill="1" applyBorder="1" applyAlignment="1" applyProtection="1">
      <alignment horizontal="center" vertical="center" wrapText="1"/>
      <protection locked="0"/>
    </xf>
    <xf numFmtId="0" fontId="4" fillId="3" borderId="8" xfId="0" applyFont="1" applyFill="1" applyBorder="1" applyAlignment="1" applyProtection="1">
      <alignment horizontal="left" vertical="center" wrapText="1"/>
      <protection locked="0"/>
    </xf>
    <xf numFmtId="0" fontId="4" fillId="0" borderId="16" xfId="0" applyFont="1" applyBorder="1" applyAlignment="1">
      <alignment vertical="top" wrapText="1"/>
    </xf>
    <xf numFmtId="17" fontId="4" fillId="0" borderId="16" xfId="0" applyNumberFormat="1" applyFont="1" applyBorder="1" applyAlignment="1">
      <alignment vertical="top" wrapText="1"/>
    </xf>
    <xf numFmtId="0" fontId="6" fillId="0" borderId="16" xfId="0" applyFont="1" applyBorder="1" applyAlignment="1">
      <alignment vertical="top" wrapText="1"/>
    </xf>
    <xf numFmtId="0" fontId="4" fillId="0" borderId="16" xfId="0" applyFont="1" applyBorder="1" applyAlignment="1">
      <alignment horizontal="center" vertical="top" wrapText="1"/>
    </xf>
    <xf numFmtId="0" fontId="5" fillId="0" borderId="16" xfId="0" applyFont="1" applyBorder="1" applyAlignment="1">
      <alignment vertical="top" wrapText="1"/>
    </xf>
    <xf numFmtId="0" fontId="4" fillId="5" borderId="16" xfId="0" applyFont="1" applyFill="1" applyBorder="1" applyAlignment="1">
      <alignment vertical="top"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xf>
    <xf numFmtId="0" fontId="8" fillId="3" borderId="8" xfId="0" applyFont="1" applyFill="1" applyBorder="1" applyAlignment="1" applyProtection="1">
      <alignment vertical="center"/>
      <protection locked="0"/>
    </xf>
    <xf numFmtId="3" fontId="4" fillId="3" borderId="8" xfId="0" applyNumberFormat="1" applyFont="1" applyFill="1" applyBorder="1" applyAlignment="1" applyProtection="1">
      <alignment vertical="center"/>
      <protection locked="0"/>
    </xf>
    <xf numFmtId="1" fontId="4" fillId="3" borderId="8" xfId="0" applyNumberFormat="1" applyFont="1" applyFill="1" applyBorder="1" applyAlignment="1" applyProtection="1">
      <alignment vertical="top"/>
      <protection locked="0"/>
    </xf>
    <xf numFmtId="3" fontId="33" fillId="3" borderId="67" xfId="5" applyNumberFormat="1" applyFont="1" applyFill="1" applyBorder="1" applyAlignment="1">
      <alignment vertical="center" wrapText="1"/>
    </xf>
    <xf numFmtId="0" fontId="4" fillId="3" borderId="18" xfId="0" applyFont="1" applyFill="1" applyBorder="1" applyAlignment="1" applyProtection="1">
      <alignment horizontal="justify" vertical="top" wrapText="1"/>
      <protection locked="0"/>
    </xf>
    <xf numFmtId="9" fontId="7" fillId="3" borderId="16" xfId="0" applyNumberFormat="1" applyFont="1" applyFill="1" applyBorder="1" applyAlignment="1">
      <alignment horizontal="center" vertical="top"/>
    </xf>
    <xf numFmtId="175" fontId="4" fillId="4" borderId="8" xfId="0" applyNumberFormat="1" applyFont="1" applyFill="1" applyBorder="1" applyAlignment="1" applyProtection="1">
      <alignment vertical="top" wrapText="1"/>
      <protection locked="0"/>
    </xf>
    <xf numFmtId="3" fontId="43" fillId="3" borderId="57" xfId="0" applyNumberFormat="1" applyFont="1" applyFill="1" applyBorder="1" applyAlignment="1">
      <alignment horizontal="right" vertical="top" wrapText="1"/>
    </xf>
    <xf numFmtId="0" fontId="0" fillId="0" borderId="16" xfId="0" applyBorder="1" applyAlignment="1" applyProtection="1">
      <alignment vertical="center" wrapText="1"/>
    </xf>
    <xf numFmtId="0" fontId="0" fillId="0" borderId="16" xfId="0" applyBorder="1" applyAlignment="1" applyProtection="1">
      <alignment horizontal="center" vertical="center" wrapText="1"/>
      <protection locked="0"/>
    </xf>
    <xf numFmtId="0" fontId="7" fillId="0" borderId="18"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0" xfId="0" applyFont="1" applyBorder="1" applyAlignment="1" applyProtection="1">
      <alignment horizontal="center" vertical="center" wrapText="1"/>
      <protection locked="0"/>
    </xf>
    <xf numFmtId="0" fontId="14" fillId="0" borderId="16" xfId="0" applyFont="1" applyBorder="1" applyAlignment="1" applyProtection="1">
      <alignment horizontal="left" vertical="center" wrapText="1"/>
    </xf>
    <xf numFmtId="9" fontId="0" fillId="0" borderId="16" xfId="0" applyNumberFormat="1" applyBorder="1" applyAlignment="1" applyProtection="1">
      <alignment horizontal="center" vertical="center" wrapText="1"/>
      <protection locked="0"/>
    </xf>
    <xf numFmtId="0" fontId="7" fillId="6" borderId="19" xfId="3" applyNumberFormat="1" applyFont="1" applyFill="1" applyBorder="1" applyAlignment="1" applyProtection="1">
      <alignment horizontal="left" vertical="center" wrapText="1"/>
    </xf>
    <xf numFmtId="0" fontId="7" fillId="6" borderId="20" xfId="3" applyNumberFormat="1" applyFont="1" applyFill="1" applyBorder="1" applyAlignment="1" applyProtection="1">
      <alignment horizontal="left" vertical="center" wrapText="1"/>
      <protection locked="0"/>
    </xf>
    <xf numFmtId="9" fontId="0" fillId="0" borderId="0" xfId="3" applyFont="1" applyAlignment="1">
      <alignment vertical="center" wrapText="1"/>
    </xf>
    <xf numFmtId="0" fontId="17" fillId="0" borderId="35" xfId="2" applyBorder="1" applyAlignment="1">
      <alignment vertical="center"/>
    </xf>
    <xf numFmtId="0" fontId="76" fillId="0" borderId="0" xfId="0" applyFont="1"/>
    <xf numFmtId="0" fontId="58" fillId="0" borderId="87" xfId="0" applyFont="1" applyBorder="1" applyAlignment="1">
      <alignment horizontal="center" vertical="center" wrapText="1"/>
    </xf>
    <xf numFmtId="0" fontId="58" fillId="0" borderId="88" xfId="0" applyFont="1" applyBorder="1" applyAlignment="1">
      <alignment horizontal="center" vertical="center" wrapText="1"/>
    </xf>
    <xf numFmtId="0" fontId="49" fillId="0" borderId="89" xfId="0" applyFont="1" applyBorder="1" applyAlignment="1">
      <alignment vertical="center" wrapText="1"/>
    </xf>
    <xf numFmtId="0" fontId="69" fillId="0" borderId="90" xfId="2" applyFont="1" applyBorder="1" applyAlignment="1">
      <alignment vertical="center" wrapText="1"/>
    </xf>
    <xf numFmtId="9" fontId="49" fillId="0" borderId="90" xfId="0" applyNumberFormat="1" applyFont="1" applyBorder="1" applyAlignment="1">
      <alignment horizontal="center" vertical="center" wrapText="1"/>
    </xf>
    <xf numFmtId="0" fontId="49" fillId="0" borderId="90" xfId="0" applyFont="1" applyBorder="1" applyAlignment="1">
      <alignment horizontal="center" vertical="center" wrapText="1"/>
    </xf>
    <xf numFmtId="0" fontId="49" fillId="0" borderId="91" xfId="0" applyFont="1" applyBorder="1" applyAlignment="1">
      <alignment vertical="center" wrapText="1"/>
    </xf>
    <xf numFmtId="0" fontId="69" fillId="0" borderId="91" xfId="2" applyFont="1" applyBorder="1" applyAlignment="1">
      <alignment vertical="center" wrapText="1"/>
    </xf>
    <xf numFmtId="9" fontId="49" fillId="0" borderId="91" xfId="0" applyNumberFormat="1" applyFont="1" applyBorder="1" applyAlignment="1">
      <alignment horizontal="center" vertical="center" wrapText="1"/>
    </xf>
    <xf numFmtId="0" fontId="69" fillId="0" borderId="0" xfId="0" applyFont="1" applyAlignment="1">
      <alignment horizontal="center"/>
    </xf>
    <xf numFmtId="3" fontId="3" fillId="3" borderId="16" xfId="0" applyNumberFormat="1" applyFont="1" applyFill="1" applyBorder="1" applyAlignment="1" applyProtection="1">
      <alignment vertical="center"/>
      <protection locked="0"/>
    </xf>
    <xf numFmtId="3" fontId="4" fillId="3" borderId="16" xfId="0" applyNumberFormat="1" applyFont="1" applyFill="1" applyBorder="1" applyAlignment="1" applyProtection="1">
      <alignment vertical="top"/>
      <protection locked="0"/>
    </xf>
    <xf numFmtId="0" fontId="3" fillId="3" borderId="14" xfId="0" applyFont="1" applyFill="1" applyBorder="1" applyAlignment="1" applyProtection="1">
      <alignment horizontal="center" vertical="center"/>
      <protection locked="0"/>
    </xf>
    <xf numFmtId="3" fontId="3" fillId="3" borderId="32" xfId="0" applyNumberFormat="1" applyFont="1" applyFill="1" applyBorder="1" applyAlignment="1" applyProtection="1">
      <alignment vertical="center"/>
      <protection locked="0"/>
    </xf>
    <xf numFmtId="3" fontId="3" fillId="3" borderId="33" xfId="0" applyNumberFormat="1" applyFont="1" applyFill="1" applyBorder="1" applyAlignment="1" applyProtection="1">
      <alignment vertical="center"/>
      <protection locked="0"/>
    </xf>
    <xf numFmtId="0" fontId="4" fillId="3" borderId="10" xfId="0" applyFont="1" applyFill="1" applyBorder="1" applyAlignment="1" applyProtection="1">
      <alignment vertical="top" wrapText="1"/>
      <protection locked="0"/>
    </xf>
    <xf numFmtId="3" fontId="3" fillId="3" borderId="35" xfId="0" applyNumberFormat="1" applyFont="1" applyFill="1" applyBorder="1" applyAlignment="1" applyProtection="1">
      <alignment vertical="center"/>
      <protection locked="0"/>
    </xf>
    <xf numFmtId="0" fontId="4" fillId="3" borderId="10" xfId="0" applyFont="1" applyFill="1" applyBorder="1" applyAlignment="1" applyProtection="1">
      <alignment vertical="top"/>
      <protection locked="0"/>
    </xf>
    <xf numFmtId="3" fontId="4" fillId="3" borderId="35" xfId="0" applyNumberFormat="1" applyFont="1" applyFill="1" applyBorder="1" applyAlignment="1" applyProtection="1">
      <alignment vertical="top"/>
      <protection locked="0"/>
    </xf>
    <xf numFmtId="0" fontId="3" fillId="0" borderId="10" xfId="0" applyFont="1" applyBorder="1" applyAlignment="1">
      <alignment horizontal="center" vertical="center" wrapText="1"/>
    </xf>
    <xf numFmtId="3" fontId="3" fillId="4" borderId="36" xfId="0" applyNumberFormat="1" applyFont="1" applyFill="1" applyBorder="1" applyAlignment="1">
      <alignment horizontal="center" vertical="center"/>
    </xf>
    <xf numFmtId="3" fontId="3" fillId="4" borderId="39" xfId="0" applyNumberFormat="1" applyFont="1" applyFill="1" applyBorder="1" applyAlignment="1">
      <alignment horizontal="center" vertical="center"/>
    </xf>
    <xf numFmtId="9" fontId="4" fillId="33" borderId="12" xfId="0" applyNumberFormat="1" applyFont="1" applyFill="1" applyBorder="1" applyAlignment="1" applyProtection="1">
      <alignment vertical="top"/>
      <protection locked="0"/>
    </xf>
    <xf numFmtId="0" fontId="4" fillId="33" borderId="8" xfId="0" applyFont="1" applyFill="1" applyBorder="1" applyAlignment="1" applyProtection="1">
      <alignment horizontal="left" vertical="top"/>
      <protection locked="0"/>
    </xf>
    <xf numFmtId="0" fontId="4" fillId="0" borderId="16" xfId="0" applyFont="1" applyBorder="1" applyAlignment="1">
      <alignment vertical="top" wrapText="1"/>
    </xf>
    <xf numFmtId="0" fontId="4" fillId="0" borderId="7" xfId="0" applyFont="1" applyBorder="1" applyAlignment="1">
      <alignment vertical="top" wrapText="1"/>
    </xf>
    <xf numFmtId="0" fontId="4" fillId="0" borderId="11" xfId="0" applyFont="1" applyBorder="1" applyAlignment="1">
      <alignment vertical="top" wrapText="1"/>
    </xf>
    <xf numFmtId="1" fontId="77" fillId="61" borderId="92" xfId="0" applyNumberFormat="1" applyFont="1" applyFill="1" applyBorder="1" applyAlignment="1">
      <alignment horizontal="center" vertical="top"/>
    </xf>
    <xf numFmtId="1" fontId="77" fillId="61" borderId="73" xfId="0" applyNumberFormat="1" applyFont="1" applyFill="1" applyBorder="1" applyAlignment="1">
      <alignment horizontal="center" vertical="top"/>
    </xf>
    <xf numFmtId="1" fontId="4" fillId="4" borderId="8" xfId="0" applyNumberFormat="1" applyFont="1" applyFill="1" applyBorder="1" applyAlignment="1">
      <alignment horizontal="center" vertical="top"/>
    </xf>
    <xf numFmtId="0" fontId="4" fillId="5" borderId="16" xfId="0" applyFont="1" applyFill="1" applyBorder="1" applyAlignment="1">
      <alignment horizontal="left" vertical="top" wrapText="1"/>
    </xf>
    <xf numFmtId="0" fontId="4" fillId="22" borderId="6" xfId="0" applyFont="1" applyFill="1" applyBorder="1" applyAlignment="1">
      <alignment horizontal="center" vertical="top"/>
    </xf>
    <xf numFmtId="0" fontId="4" fillId="22" borderId="31" xfId="0" applyFont="1" applyFill="1" applyBorder="1" applyAlignment="1">
      <alignment horizontal="center" vertical="top"/>
    </xf>
    <xf numFmtId="0" fontId="4" fillId="22" borderId="32" xfId="0" applyFont="1" applyFill="1" applyBorder="1" applyAlignment="1">
      <alignment horizontal="center" vertical="top"/>
    </xf>
    <xf numFmtId="0" fontId="4" fillId="22" borderId="7" xfId="0" applyFont="1" applyFill="1" applyBorder="1" applyAlignment="1">
      <alignment horizontal="center" vertical="top" wrapText="1"/>
    </xf>
    <xf numFmtId="0" fontId="4" fillId="22" borderId="8" xfId="0" applyFont="1" applyFill="1" applyBorder="1" applyAlignment="1">
      <alignment vertical="center"/>
    </xf>
    <xf numFmtId="0" fontId="3" fillId="3" borderId="8"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5" fillId="0" borderId="11" xfId="0" applyFont="1" applyBorder="1" applyAlignment="1">
      <alignment vertical="top" wrapText="1"/>
    </xf>
    <xf numFmtId="0" fontId="0" fillId="0" borderId="16" xfId="0" applyBorder="1" applyAlignment="1" applyProtection="1">
      <alignment vertical="top" wrapText="1"/>
      <protection locked="0"/>
    </xf>
    <xf numFmtId="0" fontId="4" fillId="0" borderId="11" xfId="0" applyFont="1" applyBorder="1" applyAlignment="1">
      <alignment vertical="top" wrapText="1"/>
    </xf>
    <xf numFmtId="0" fontId="4" fillId="0" borderId="14" xfId="0" applyFont="1" applyBorder="1" applyAlignment="1" applyProtection="1">
      <alignment vertical="top" wrapText="1"/>
      <protection locked="0"/>
    </xf>
    <xf numFmtId="3" fontId="4" fillId="3" borderId="8" xfId="0" applyNumberFormat="1" applyFont="1" applyFill="1" applyBorder="1" applyAlignment="1" applyProtection="1">
      <alignment horizontal="center" vertical="top" wrapText="1"/>
      <protection locked="0"/>
    </xf>
    <xf numFmtId="166" fontId="40" fillId="3" borderId="55" xfId="4" applyNumberFormat="1" applyFont="1" applyFill="1" applyBorder="1" applyAlignment="1">
      <alignment horizontal="center" vertical="center"/>
    </xf>
    <xf numFmtId="44" fontId="40" fillId="62" borderId="73" xfId="7" applyFont="1" applyFill="1" applyBorder="1" applyAlignment="1">
      <alignment horizontal="center" vertical="center" wrapText="1"/>
    </xf>
    <xf numFmtId="0" fontId="4" fillId="3" borderId="11" xfId="0" applyFont="1" applyFill="1" applyBorder="1" applyAlignment="1" applyProtection="1">
      <alignment horizontal="center" vertical="top"/>
      <protection locked="0"/>
    </xf>
    <xf numFmtId="0" fontId="8" fillId="0" borderId="11" xfId="0" applyFont="1" applyBorder="1" applyAlignment="1">
      <alignment horizontal="center" vertical="top" wrapText="1"/>
    </xf>
    <xf numFmtId="0" fontId="4" fillId="3" borderId="16" xfId="0" applyFont="1" applyFill="1" applyBorder="1" applyAlignment="1" applyProtection="1">
      <alignment vertical="top" wrapText="1"/>
      <protection locked="0"/>
    </xf>
    <xf numFmtId="0" fontId="8" fillId="0" borderId="6" xfId="0" applyFont="1" applyBorder="1" applyAlignment="1">
      <alignment horizontal="center" vertical="center" wrapText="1"/>
    </xf>
    <xf numFmtId="0" fontId="14" fillId="0" borderId="30" xfId="0" applyFont="1" applyBorder="1" applyAlignment="1">
      <alignment vertical="top"/>
    </xf>
    <xf numFmtId="0" fontId="4" fillId="3" borderId="16" xfId="0" applyFont="1" applyFill="1" applyBorder="1" applyAlignment="1" applyProtection="1">
      <alignment vertical="top"/>
      <protection locked="0"/>
    </xf>
    <xf numFmtId="3" fontId="4" fillId="3" borderId="16" xfId="0" applyNumberFormat="1" applyFont="1" applyFill="1" applyBorder="1" applyAlignment="1" applyProtection="1">
      <alignment horizontal="center" vertical="top" wrapText="1"/>
      <protection locked="0"/>
    </xf>
    <xf numFmtId="0" fontId="78" fillId="62" borderId="73" xfId="0" applyFont="1" applyFill="1" applyBorder="1" applyAlignment="1">
      <alignment vertical="center" wrapText="1"/>
    </xf>
    <xf numFmtId="3" fontId="78" fillId="62" borderId="73" xfId="0" applyNumberFormat="1" applyFont="1" applyFill="1" applyBorder="1" applyAlignment="1">
      <alignment vertical="center" wrapText="1"/>
    </xf>
    <xf numFmtId="3" fontId="7" fillId="3" borderId="16" xfId="0" applyNumberFormat="1" applyFont="1" applyFill="1" applyBorder="1" applyAlignment="1" applyProtection="1">
      <alignment horizontal="right" vertical="center"/>
      <protection locked="0"/>
    </xf>
    <xf numFmtId="165" fontId="7" fillId="3" borderId="16" xfId="4" applyNumberFormat="1" applyFont="1" applyFill="1" applyBorder="1" applyAlignment="1" applyProtection="1">
      <alignment horizontal="right" vertical="center"/>
      <protection locked="0"/>
    </xf>
    <xf numFmtId="0" fontId="31" fillId="12" borderId="14" xfId="0" applyFont="1" applyFill="1" applyBorder="1" applyAlignment="1">
      <alignment horizontal="center" vertical="center" wrapText="1"/>
    </xf>
    <xf numFmtId="0" fontId="31" fillId="12" borderId="15" xfId="0" applyFont="1" applyFill="1" applyBorder="1" applyAlignment="1">
      <alignment horizontal="center" vertical="center" wrapText="1"/>
    </xf>
    <xf numFmtId="0" fontId="31" fillId="12" borderId="7" xfId="0" applyFont="1" applyFill="1" applyBorder="1" applyAlignment="1">
      <alignment horizontal="center" vertical="center" wrapText="1"/>
    </xf>
    <xf numFmtId="0" fontId="33" fillId="0" borderId="0" xfId="5" applyFont="1" applyAlignment="1">
      <alignment horizontal="left" vertical="center" wrapText="1"/>
    </xf>
    <xf numFmtId="0" fontId="30" fillId="0" borderId="0" xfId="5" applyFont="1" applyAlignment="1">
      <alignment horizontal="justify" vertical="center" wrapText="1"/>
    </xf>
    <xf numFmtId="0" fontId="30" fillId="0" borderId="0" xfId="5" applyFont="1" applyAlignment="1">
      <alignment horizontal="left" vertical="center" wrapText="1"/>
    </xf>
    <xf numFmtId="0" fontId="33" fillId="0" borderId="0" xfId="5" applyFont="1" applyAlignment="1">
      <alignment horizontal="center" vertical="center" wrapText="1"/>
    </xf>
    <xf numFmtId="0" fontId="63" fillId="0" borderId="0" xfId="5" applyFont="1" applyAlignment="1">
      <alignment horizontal="justify" vertical="center" wrapText="1"/>
    </xf>
    <xf numFmtId="0" fontId="48" fillId="0" borderId="74" xfId="0" applyFont="1" applyBorder="1" applyAlignment="1">
      <alignment horizontal="center" vertical="center" wrapText="1"/>
    </xf>
    <xf numFmtId="0" fontId="49" fillId="0" borderId="75" xfId="0" applyFont="1" applyBorder="1"/>
    <xf numFmtId="0" fontId="49" fillId="0" borderId="76" xfId="0" applyFont="1" applyBorder="1"/>
    <xf numFmtId="0" fontId="59" fillId="13" borderId="14" xfId="5" applyFont="1" applyFill="1" applyBorder="1" applyAlignment="1">
      <alignment horizontal="center" vertical="center" wrapText="1"/>
    </xf>
    <xf numFmtId="0" fontId="59" fillId="13" borderId="7" xfId="5" applyFont="1" applyFill="1" applyBorder="1" applyAlignment="1">
      <alignment horizontal="center" vertical="center" wrapText="1"/>
    </xf>
    <xf numFmtId="0" fontId="30" fillId="0" borderId="3" xfId="5" applyFont="1" applyBorder="1" applyAlignment="1">
      <alignment horizontal="left" vertical="center" wrapText="1"/>
    </xf>
    <xf numFmtId="0" fontId="57" fillId="0" borderId="74" xfId="0" applyFont="1" applyBorder="1" applyAlignment="1">
      <alignment horizontal="center" vertical="center" wrapText="1"/>
    </xf>
    <xf numFmtId="0" fontId="58" fillId="0" borderId="75" xfId="0" applyFont="1" applyBorder="1"/>
    <xf numFmtId="0" fontId="58" fillId="0" borderId="76" xfId="0" applyFont="1" applyBorder="1"/>
    <xf numFmtId="0" fontId="48" fillId="0" borderId="82" xfId="0" applyFont="1" applyBorder="1" applyAlignment="1">
      <alignment horizontal="center" vertical="center" wrapText="1"/>
    </xf>
    <xf numFmtId="0" fontId="48" fillId="0" borderId="83" xfId="0" applyFont="1" applyBorder="1" applyAlignment="1">
      <alignment horizontal="center" vertical="center" wrapText="1"/>
    </xf>
    <xf numFmtId="0" fontId="55" fillId="0" borderId="74" xfId="0" applyFont="1" applyBorder="1" applyAlignment="1">
      <alignment vertical="center" wrapText="1"/>
    </xf>
    <xf numFmtId="0" fontId="48" fillId="0" borderId="74" xfId="0" applyFont="1" applyBorder="1" applyAlignment="1">
      <alignment vertical="center" wrapText="1"/>
    </xf>
    <xf numFmtId="0" fontId="33" fillId="17" borderId="1" xfId="5" applyFont="1" applyFill="1" applyBorder="1" applyAlignment="1">
      <alignment horizontal="center" vertical="center" wrapText="1"/>
    </xf>
    <xf numFmtId="0" fontId="33" fillId="17" borderId="13" xfId="5" applyFont="1" applyFill="1" applyBorder="1" applyAlignment="1">
      <alignment horizontal="center" vertical="center" wrapText="1"/>
    </xf>
    <xf numFmtId="0" fontId="33" fillId="18" borderId="1" xfId="5" applyFont="1" applyFill="1" applyBorder="1" applyAlignment="1">
      <alignment horizontal="center" vertical="center" wrapText="1"/>
    </xf>
    <xf numFmtId="0" fontId="33" fillId="18" borderId="13" xfId="5" applyFont="1" applyFill="1" applyBorder="1" applyAlignment="1">
      <alignment horizontal="center" vertical="center" wrapText="1"/>
    </xf>
    <xf numFmtId="0" fontId="47" fillId="25" borderId="42" xfId="5" applyFont="1" applyFill="1" applyBorder="1" applyAlignment="1">
      <alignment horizontal="center" vertical="center" wrapText="1"/>
    </xf>
    <xf numFmtId="0" fontId="47" fillId="25" borderId="44" xfId="5" applyFont="1" applyFill="1" applyBorder="1" applyAlignment="1">
      <alignment horizontal="center" vertical="center" wrapText="1"/>
    </xf>
    <xf numFmtId="0" fontId="47" fillId="25" borderId="47" xfId="5" applyFont="1" applyFill="1" applyBorder="1" applyAlignment="1">
      <alignment horizontal="center" vertical="center" wrapText="1"/>
    </xf>
    <xf numFmtId="0" fontId="33" fillId="15" borderId="15" xfId="5" applyFont="1" applyFill="1" applyBorder="1" applyAlignment="1">
      <alignment horizontal="center" vertical="center" wrapText="1"/>
    </xf>
    <xf numFmtId="0" fontId="33" fillId="15" borderId="7" xfId="5" applyFont="1" applyFill="1" applyBorder="1" applyAlignment="1">
      <alignment horizontal="center" vertical="center" wrapText="1"/>
    </xf>
    <xf numFmtId="0" fontId="33" fillId="15" borderId="14" xfId="5" applyFont="1" applyFill="1" applyBorder="1" applyAlignment="1">
      <alignment horizontal="center" vertical="center" wrapText="1"/>
    </xf>
    <xf numFmtId="0" fontId="33" fillId="15" borderId="1" xfId="5" applyFont="1" applyFill="1" applyBorder="1" applyAlignment="1">
      <alignment horizontal="center" vertical="center" wrapText="1"/>
    </xf>
    <xf numFmtId="0" fontId="33" fillId="15" borderId="13" xfId="5" applyFont="1" applyFill="1" applyBorder="1" applyAlignment="1">
      <alignment horizontal="center" vertical="center" wrapText="1"/>
    </xf>
    <xf numFmtId="0" fontId="47" fillId="15" borderId="1" xfId="5" applyFont="1" applyFill="1" applyBorder="1" applyAlignment="1">
      <alignment horizontal="center" vertical="center" wrapText="1"/>
    </xf>
    <xf numFmtId="0" fontId="47" fillId="15" borderId="13" xfId="5" applyFont="1" applyFill="1" applyBorder="1" applyAlignment="1">
      <alignment horizontal="center" vertical="center" wrapText="1"/>
    </xf>
    <xf numFmtId="9" fontId="33" fillId="3" borderId="1" xfId="3" applyFont="1" applyFill="1" applyBorder="1" applyAlignment="1">
      <alignment horizontal="center" vertical="center" wrapText="1"/>
    </xf>
    <xf numFmtId="9" fontId="33" fillId="3" borderId="13" xfId="3" applyFont="1" applyFill="1" applyBorder="1" applyAlignment="1">
      <alignment horizontal="center" vertical="center" wrapText="1"/>
    </xf>
    <xf numFmtId="0" fontId="33" fillId="26" borderId="1" xfId="5" applyFont="1" applyFill="1" applyBorder="1" applyAlignment="1">
      <alignment horizontal="center" vertical="center" wrapText="1"/>
    </xf>
    <xf numFmtId="0" fontId="33" fillId="26" borderId="5" xfId="5" applyFont="1" applyFill="1" applyBorder="1" applyAlignment="1">
      <alignment horizontal="center" vertical="center" wrapText="1"/>
    </xf>
    <xf numFmtId="0" fontId="33" fillId="16" borderId="1" xfId="5" applyFont="1" applyFill="1" applyBorder="1" applyAlignment="1">
      <alignment horizontal="center" vertical="center" wrapText="1"/>
    </xf>
    <xf numFmtId="0" fontId="33" fillId="16" borderId="13" xfId="5" applyFont="1" applyFill="1" applyBorder="1" applyAlignment="1">
      <alignment horizontal="center" vertical="center" wrapText="1"/>
    </xf>
    <xf numFmtId="0" fontId="33" fillId="16" borderId="5" xfId="5" applyFont="1" applyFill="1" applyBorder="1" applyAlignment="1">
      <alignment horizontal="center" vertical="center" wrapText="1"/>
    </xf>
    <xf numFmtId="0" fontId="33" fillId="17" borderId="14" xfId="5" applyFont="1" applyFill="1" applyBorder="1" applyAlignment="1">
      <alignment horizontal="center" vertical="center" wrapText="1"/>
    </xf>
    <xf numFmtId="0" fontId="33" fillId="17" borderId="7" xfId="5" applyFont="1" applyFill="1" applyBorder="1" applyAlignment="1">
      <alignment horizontal="center" vertical="center" wrapText="1"/>
    </xf>
    <xf numFmtId="0" fontId="30" fillId="11" borderId="14" xfId="5" applyFont="1" applyFill="1" applyBorder="1" applyAlignment="1">
      <alignment horizontal="center" vertical="center" wrapText="1"/>
    </xf>
    <xf numFmtId="0" fontId="30" fillId="11" borderId="15" xfId="5" applyFont="1" applyFill="1" applyBorder="1" applyAlignment="1">
      <alignment horizontal="center" vertical="center" wrapText="1"/>
    </xf>
    <xf numFmtId="0" fontId="30" fillId="11" borderId="7" xfId="5" applyFont="1" applyFill="1" applyBorder="1" applyAlignment="1">
      <alignment horizontal="center" vertical="center" wrapText="1"/>
    </xf>
    <xf numFmtId="0" fontId="33" fillId="12" borderId="2" xfId="5" applyFont="1" applyFill="1" applyBorder="1" applyAlignment="1">
      <alignment horizontal="center" vertical="center" wrapText="1"/>
    </xf>
    <xf numFmtId="0" fontId="33" fillId="12" borderId="3" xfId="5" applyFont="1" applyFill="1" applyBorder="1" applyAlignment="1">
      <alignment horizontal="center" vertical="center" wrapText="1"/>
    </xf>
    <xf numFmtId="0" fontId="33" fillId="12" borderId="4" xfId="5" applyFont="1" applyFill="1" applyBorder="1" applyAlignment="1">
      <alignment horizontal="center" vertical="center" wrapText="1"/>
    </xf>
    <xf numFmtId="0" fontId="33" fillId="12" borderId="10" xfId="5" applyFont="1" applyFill="1" applyBorder="1" applyAlignment="1">
      <alignment horizontal="center" vertical="center" wrapText="1"/>
    </xf>
    <xf numFmtId="0" fontId="33" fillId="12" borderId="11" xfId="5" applyFont="1" applyFill="1" applyBorder="1" applyAlignment="1">
      <alignment horizontal="center" vertical="center" wrapText="1"/>
    </xf>
    <xf numFmtId="0" fontId="33" fillId="12" borderId="8" xfId="5" applyFont="1" applyFill="1" applyBorder="1" applyAlignment="1">
      <alignment horizontal="center" vertical="center" wrapText="1"/>
    </xf>
    <xf numFmtId="0" fontId="33" fillId="13" borderId="1" xfId="5" applyFont="1" applyFill="1" applyBorder="1" applyAlignment="1">
      <alignment horizontal="center" vertical="center" wrapText="1"/>
    </xf>
    <xf numFmtId="0" fontId="33" fillId="13" borderId="9" xfId="5" applyFont="1" applyFill="1" applyBorder="1" applyAlignment="1">
      <alignment horizontal="center" vertical="center" wrapText="1"/>
    </xf>
    <xf numFmtId="0" fontId="33" fillId="13" borderId="10" xfId="5" applyFont="1" applyFill="1" applyBorder="1" applyAlignment="1">
      <alignment horizontal="center" vertical="center" wrapText="1"/>
    </xf>
    <xf numFmtId="0" fontId="33" fillId="13" borderId="14" xfId="5" applyFont="1" applyFill="1" applyBorder="1" applyAlignment="1">
      <alignment horizontal="center" vertical="center" wrapText="1"/>
    </xf>
    <xf numFmtId="0" fontId="33" fillId="13" borderId="15" xfId="5" applyFont="1" applyFill="1" applyBorder="1" applyAlignment="1">
      <alignment horizontal="center" vertical="center" wrapText="1"/>
    </xf>
    <xf numFmtId="0" fontId="33" fillId="13" borderId="3" xfId="5" applyFont="1" applyFill="1" applyBorder="1" applyAlignment="1">
      <alignment horizontal="center" vertical="center" wrapText="1"/>
    </xf>
    <xf numFmtId="0" fontId="33" fillId="14" borderId="15" xfId="5" applyFont="1" applyFill="1" applyBorder="1" applyAlignment="1">
      <alignment horizontal="center" vertical="center" wrapText="1"/>
    </xf>
    <xf numFmtId="0" fontId="33" fillId="13" borderId="5" xfId="5" applyFont="1" applyFill="1" applyBorder="1" applyAlignment="1">
      <alignment horizontal="center" vertical="center" wrapText="1"/>
    </xf>
    <xf numFmtId="0" fontId="33" fillId="13" borderId="13" xfId="5" applyFont="1" applyFill="1" applyBorder="1" applyAlignment="1">
      <alignment horizontal="center" vertical="center" wrapText="1"/>
    </xf>
    <xf numFmtId="0" fontId="42" fillId="21" borderId="58" xfId="0" applyFont="1" applyFill="1" applyBorder="1" applyAlignment="1" applyProtection="1">
      <alignment horizontal="center" vertical="center" wrapText="1"/>
      <protection locked="0"/>
    </xf>
    <xf numFmtId="0" fontId="42" fillId="21" borderId="61" xfId="0" applyFont="1" applyFill="1" applyBorder="1" applyAlignment="1" applyProtection="1">
      <alignment horizontal="center" vertical="center" wrapText="1"/>
      <protection locked="0"/>
    </xf>
    <xf numFmtId="0" fontId="42" fillId="21" borderId="63" xfId="0" applyFont="1" applyFill="1" applyBorder="1" applyAlignment="1" applyProtection="1">
      <alignment horizontal="center" vertical="center" wrapText="1"/>
      <protection locked="0"/>
    </xf>
    <xf numFmtId="0" fontId="42" fillId="21" borderId="59" xfId="0" applyFont="1" applyFill="1" applyBorder="1" applyAlignment="1" applyProtection="1">
      <alignment horizontal="center" vertical="center" wrapText="1"/>
      <protection locked="0"/>
    </xf>
    <xf numFmtId="0" fontId="42" fillId="21" borderId="62" xfId="0" applyFont="1" applyFill="1" applyBorder="1" applyAlignment="1" applyProtection="1">
      <alignment horizontal="center" vertical="center" wrapText="1"/>
      <protection locked="0"/>
    </xf>
    <xf numFmtId="0" fontId="42" fillId="21" borderId="64" xfId="0" applyFont="1" applyFill="1" applyBorder="1" applyAlignment="1" applyProtection="1">
      <alignment horizontal="center" vertical="center" wrapText="1"/>
      <protection locked="0"/>
    </xf>
    <xf numFmtId="0" fontId="42" fillId="21" borderId="60" xfId="0" applyFont="1" applyFill="1" applyBorder="1" applyAlignment="1" applyProtection="1">
      <alignment horizontal="center" vertical="center" wrapText="1"/>
      <protection locked="0"/>
    </xf>
    <xf numFmtId="0" fontId="42" fillId="21" borderId="27" xfId="0" applyFont="1" applyFill="1" applyBorder="1" applyAlignment="1" applyProtection="1">
      <alignment horizontal="center" vertical="center" wrapText="1"/>
      <protection locked="0"/>
    </xf>
    <xf numFmtId="0" fontId="42" fillId="21" borderId="65" xfId="0" applyFont="1" applyFill="1" applyBorder="1" applyAlignment="1" applyProtection="1">
      <alignment horizontal="center" vertical="center" wrapText="1"/>
      <protection locked="0"/>
    </xf>
    <xf numFmtId="49" fontId="36" fillId="0" borderId="51" xfId="0" quotePrefix="1" applyNumberFormat="1" applyFont="1" applyBorder="1" applyAlignment="1">
      <alignment horizontal="center" vertical="center" wrapText="1"/>
    </xf>
    <xf numFmtId="0" fontId="37" fillId="0" borderId="52" xfId="0" applyFont="1" applyBorder="1" applyAlignment="1">
      <alignment vertical="center"/>
    </xf>
    <xf numFmtId="0" fontId="37" fillId="0" borderId="53" xfId="0" applyFont="1" applyBorder="1" applyAlignment="1">
      <alignment vertical="center"/>
    </xf>
    <xf numFmtId="49" fontId="36" fillId="19" borderId="54" xfId="0" applyNumberFormat="1" applyFont="1" applyFill="1" applyBorder="1" applyAlignment="1">
      <alignment horizontal="center" vertical="center" wrapText="1"/>
    </xf>
    <xf numFmtId="49" fontId="36" fillId="19" borderId="56" xfId="0" applyNumberFormat="1" applyFont="1" applyFill="1" applyBorder="1" applyAlignment="1">
      <alignment horizontal="center" vertical="center" wrapText="1"/>
    </xf>
    <xf numFmtId="49" fontId="36" fillId="19" borderId="54" xfId="0" quotePrefix="1" applyNumberFormat="1" applyFont="1" applyFill="1" applyBorder="1" applyAlignment="1">
      <alignment horizontal="center" vertical="center" wrapText="1"/>
    </xf>
    <xf numFmtId="49" fontId="36" fillId="19" borderId="56" xfId="0" quotePrefix="1" applyNumberFormat="1" applyFont="1" applyFill="1" applyBorder="1" applyAlignment="1">
      <alignment horizontal="center" vertical="center" wrapText="1"/>
    </xf>
    <xf numFmtId="0" fontId="30" fillId="11" borderId="14" xfId="0" applyFont="1" applyFill="1" applyBorder="1" applyAlignment="1">
      <alignment horizontal="center" vertical="center" wrapText="1"/>
    </xf>
    <xf numFmtId="0" fontId="30" fillId="11" borderId="15" xfId="0" applyFont="1" applyFill="1" applyBorder="1" applyAlignment="1">
      <alignment horizontal="center" vertical="center" wrapText="1"/>
    </xf>
    <xf numFmtId="0" fontId="30" fillId="11" borderId="7" xfId="0" applyFont="1" applyFill="1" applyBorder="1" applyAlignment="1">
      <alignment horizontal="center" vertical="center" wrapText="1"/>
    </xf>
    <xf numFmtId="0" fontId="31" fillId="12" borderId="14" xfId="0" applyFont="1" applyFill="1" applyBorder="1" applyAlignment="1">
      <alignment horizontal="left" vertical="center" wrapText="1"/>
    </xf>
    <xf numFmtId="0" fontId="31" fillId="12" borderId="15" xfId="0" applyFont="1" applyFill="1" applyBorder="1" applyAlignment="1">
      <alignment horizontal="left" vertical="center" wrapText="1"/>
    </xf>
    <xf numFmtId="0" fontId="31" fillId="12" borderId="7" xfId="0" applyFont="1" applyFill="1" applyBorder="1" applyAlignment="1">
      <alignment horizontal="left" vertical="center" wrapText="1"/>
    </xf>
    <xf numFmtId="0" fontId="31" fillId="12" borderId="14" xfId="5" applyFont="1" applyFill="1" applyBorder="1" applyAlignment="1">
      <alignment horizontal="left" vertical="center" wrapText="1"/>
    </xf>
    <xf numFmtId="0" fontId="31" fillId="12" borderId="15" xfId="5" applyFont="1" applyFill="1" applyBorder="1" applyAlignment="1">
      <alignment horizontal="left" vertical="center" wrapText="1"/>
    </xf>
    <xf numFmtId="0" fontId="31" fillId="12" borderId="14" xfId="5" applyFont="1" applyFill="1" applyBorder="1" applyAlignment="1">
      <alignment horizontal="center" vertical="center" wrapText="1"/>
    </xf>
    <xf numFmtId="0" fontId="31" fillId="12" borderId="15" xfId="5" applyFont="1" applyFill="1" applyBorder="1" applyAlignment="1">
      <alignment horizontal="center" vertical="center" wrapText="1"/>
    </xf>
    <xf numFmtId="0" fontId="31" fillId="12" borderId="7" xfId="5" applyFont="1" applyFill="1" applyBorder="1" applyAlignment="1">
      <alignment horizontal="center" vertical="center" wrapText="1"/>
    </xf>
    <xf numFmtId="0" fontId="4" fillId="0" borderId="1" xfId="0" applyFont="1" applyBorder="1" applyAlignment="1" applyProtection="1">
      <alignment horizontal="left" vertical="top" wrapText="1"/>
    </xf>
    <xf numFmtId="0" fontId="4" fillId="0" borderId="5" xfId="0" applyFont="1" applyBorder="1" applyAlignment="1" applyProtection="1">
      <alignment horizontal="left" vertical="top" wrapText="1"/>
    </xf>
    <xf numFmtId="0" fontId="4" fillId="0" borderId="13" xfId="0" applyFont="1" applyBorder="1" applyAlignment="1" applyProtection="1">
      <alignment horizontal="left" vertical="top" wrapText="1"/>
    </xf>
    <xf numFmtId="0" fontId="3" fillId="0" borderId="10" xfId="0" applyFont="1" applyBorder="1" applyAlignment="1" applyProtection="1">
      <alignment vertical="top" wrapText="1"/>
    </xf>
    <xf numFmtId="0" fontId="3" fillId="0" borderId="11" xfId="0" applyFont="1" applyBorder="1" applyAlignment="1" applyProtection="1">
      <alignment vertical="top" wrapText="1"/>
    </xf>
    <xf numFmtId="0" fontId="3" fillId="0" borderId="8" xfId="0" applyFont="1" applyBorder="1" applyAlignment="1" applyProtection="1">
      <alignment vertical="top" wrapText="1"/>
    </xf>
    <xf numFmtId="0" fontId="4" fillId="0" borderId="2" xfId="0" applyFont="1" applyBorder="1" applyAlignment="1" applyProtection="1">
      <alignment vertical="top" wrapText="1"/>
    </xf>
    <xf numFmtId="0" fontId="4" fillId="0" borderId="3" xfId="0" applyFont="1" applyBorder="1" applyAlignment="1" applyProtection="1">
      <alignment vertical="top" wrapText="1"/>
    </xf>
    <xf numFmtId="0" fontId="4" fillId="0" borderId="4" xfId="0" applyFont="1" applyBorder="1" applyAlignment="1" applyProtection="1">
      <alignment vertical="top" wrapText="1"/>
    </xf>
    <xf numFmtId="0" fontId="3" fillId="0" borderId="9" xfId="0" applyFont="1" applyBorder="1" applyAlignment="1" applyProtection="1">
      <alignment vertical="top" wrapText="1"/>
    </xf>
    <xf numFmtId="0" fontId="3" fillId="0" borderId="0" xfId="0" applyFont="1" applyBorder="1" applyAlignment="1" applyProtection="1">
      <alignment vertical="top" wrapText="1"/>
    </xf>
    <xf numFmtId="0" fontId="3" fillId="0" borderId="6" xfId="0" applyFont="1" applyBorder="1" applyAlignment="1" applyProtection="1">
      <alignment vertical="top" wrapText="1"/>
    </xf>
    <xf numFmtId="0" fontId="4" fillId="0" borderId="9" xfId="0" applyFont="1" applyBorder="1" applyAlignment="1" applyProtection="1">
      <alignment vertical="top" wrapText="1"/>
    </xf>
    <xf numFmtId="0" fontId="4" fillId="0" borderId="0" xfId="0" applyFont="1" applyBorder="1" applyAlignment="1" applyProtection="1">
      <alignment vertical="top" wrapText="1"/>
    </xf>
    <xf numFmtId="0" fontId="4" fillId="0" borderId="6" xfId="0" applyFont="1" applyBorder="1" applyAlignment="1" applyProtection="1">
      <alignment vertical="top" wrapText="1"/>
    </xf>
    <xf numFmtId="0" fontId="9" fillId="0" borderId="9" xfId="0" applyFont="1" applyBorder="1" applyAlignment="1" applyProtection="1">
      <alignment vertical="top" wrapText="1"/>
    </xf>
    <xf numFmtId="0" fontId="9" fillId="0" borderId="0" xfId="0" applyFont="1" applyBorder="1" applyAlignment="1" applyProtection="1">
      <alignment vertical="top" wrapText="1"/>
    </xf>
    <xf numFmtId="0" fontId="9" fillId="0" borderId="6" xfId="0" applyFont="1" applyBorder="1" applyAlignment="1" applyProtection="1">
      <alignment vertical="top" wrapText="1"/>
    </xf>
    <xf numFmtId="0" fontId="3" fillId="0" borderId="2" xfId="0" applyFont="1" applyBorder="1" applyAlignment="1" applyProtection="1">
      <alignment vertical="top" wrapText="1"/>
    </xf>
    <xf numFmtId="0" fontId="3" fillId="0" borderId="3" xfId="0" applyFont="1" applyBorder="1" applyAlignment="1" applyProtection="1">
      <alignment vertical="top" wrapText="1"/>
    </xf>
    <xf numFmtId="0" fontId="3" fillId="0" borderId="4" xfId="0" applyFont="1" applyBorder="1" applyAlignment="1" applyProtection="1">
      <alignment vertical="top" wrapText="1"/>
    </xf>
    <xf numFmtId="0" fontId="12" fillId="0" borderId="14" xfId="0" applyFont="1" applyBorder="1" applyAlignment="1" applyProtection="1">
      <alignment vertical="top" wrapText="1"/>
    </xf>
    <xf numFmtId="0" fontId="12" fillId="0" borderId="15" xfId="0" applyFont="1" applyBorder="1" applyAlignment="1" applyProtection="1">
      <alignment vertical="top" wrapText="1"/>
    </xf>
    <xf numFmtId="0" fontId="12" fillId="0" borderId="7" xfId="0" applyFont="1" applyBorder="1" applyAlignment="1" applyProtection="1">
      <alignment vertical="top" wrapText="1"/>
    </xf>
    <xf numFmtId="0" fontId="4" fillId="0" borderId="1" xfId="0" applyFont="1" applyBorder="1" applyAlignment="1" applyProtection="1">
      <alignment vertical="top" wrapText="1"/>
    </xf>
    <xf numFmtId="0" fontId="4" fillId="0" borderId="5" xfId="0" applyFont="1" applyBorder="1" applyAlignment="1" applyProtection="1">
      <alignment vertical="top" wrapText="1"/>
    </xf>
    <xf numFmtId="0" fontId="4" fillId="0" borderId="13" xfId="0" applyFont="1" applyBorder="1" applyAlignment="1" applyProtection="1">
      <alignment vertical="top" wrapText="1"/>
    </xf>
    <xf numFmtId="0" fontId="3" fillId="3" borderId="16" xfId="0" applyFont="1" applyFill="1" applyBorder="1" applyAlignment="1" applyProtection="1">
      <alignment horizontal="center" vertical="top" wrapText="1"/>
      <protection locked="0"/>
    </xf>
    <xf numFmtId="9" fontId="4" fillId="4" borderId="14" xfId="0" applyNumberFormat="1" applyFont="1" applyFill="1" applyBorder="1" applyAlignment="1" applyProtection="1">
      <alignment horizontal="right" vertical="top"/>
    </xf>
    <xf numFmtId="9" fontId="4" fillId="4" borderId="7" xfId="0" applyNumberFormat="1" applyFont="1" applyFill="1" applyBorder="1" applyAlignment="1" applyProtection="1">
      <alignment horizontal="right" vertical="top"/>
    </xf>
    <xf numFmtId="9" fontId="3" fillId="0" borderId="2" xfId="0" applyNumberFormat="1" applyFont="1" applyFill="1" applyBorder="1" applyAlignment="1" applyProtection="1">
      <alignment vertical="top" wrapText="1"/>
    </xf>
    <xf numFmtId="9" fontId="3" fillId="0" borderId="3" xfId="0" applyNumberFormat="1" applyFont="1" applyFill="1" applyBorder="1" applyAlignment="1" applyProtection="1">
      <alignment vertical="top" wrapText="1"/>
    </xf>
    <xf numFmtId="9" fontId="3" fillId="0" borderId="4" xfId="0" applyNumberFormat="1" applyFont="1" applyFill="1" applyBorder="1" applyAlignment="1" applyProtection="1">
      <alignment vertical="top" wrapText="1"/>
    </xf>
    <xf numFmtId="0" fontId="4" fillId="0" borderId="14" xfId="0" applyFont="1" applyBorder="1" applyAlignment="1" applyProtection="1">
      <alignment vertical="top" wrapText="1"/>
    </xf>
    <xf numFmtId="0" fontId="4" fillId="0" borderId="15" xfId="0" applyFont="1" applyBorder="1" applyAlignment="1" applyProtection="1">
      <alignment vertical="top" wrapText="1"/>
    </xf>
    <xf numFmtId="0" fontId="4" fillId="0" borderId="7" xfId="0" applyFont="1" applyBorder="1" applyAlignment="1" applyProtection="1">
      <alignment vertical="top" wrapText="1"/>
    </xf>
    <xf numFmtId="0" fontId="4" fillId="0" borderId="10" xfId="0" applyFont="1" applyBorder="1" applyAlignment="1" applyProtection="1">
      <alignment vertical="top" wrapText="1"/>
    </xf>
    <xf numFmtId="0" fontId="4" fillId="0" borderId="11" xfId="0" applyFont="1" applyBorder="1" applyAlignment="1" applyProtection="1">
      <alignment vertical="top" wrapText="1"/>
    </xf>
    <xf numFmtId="0" fontId="4" fillId="0" borderId="8" xfId="0" applyFont="1" applyBorder="1" applyAlignment="1" applyProtection="1">
      <alignment vertical="top" wrapText="1"/>
    </xf>
    <xf numFmtId="0" fontId="6" fillId="0" borderId="10" xfId="0" applyFont="1" applyBorder="1" applyAlignment="1" applyProtection="1">
      <alignment vertical="top" wrapText="1"/>
    </xf>
    <xf numFmtId="0" fontId="6" fillId="0" borderId="11" xfId="0" applyFont="1" applyBorder="1" applyAlignment="1" applyProtection="1">
      <alignment vertical="top" wrapText="1"/>
    </xf>
    <xf numFmtId="0" fontId="6" fillId="0" borderId="8" xfId="0" applyFont="1" applyBorder="1" applyAlignment="1" applyProtection="1">
      <alignment vertical="top" wrapText="1"/>
    </xf>
    <xf numFmtId="0" fontId="0" fillId="0" borderId="9" xfId="0" applyBorder="1" applyAlignment="1" applyProtection="1">
      <alignment vertical="top" wrapText="1"/>
    </xf>
    <xf numFmtId="0" fontId="0" fillId="0" borderId="0" xfId="0" applyBorder="1" applyAlignment="1" applyProtection="1">
      <alignment vertical="top" wrapText="1"/>
    </xf>
    <xf numFmtId="0" fontId="0" fillId="0" borderId="6" xfId="0" applyBorder="1" applyAlignment="1" applyProtection="1">
      <alignment vertical="top" wrapText="1"/>
    </xf>
    <xf numFmtId="0" fontId="14" fillId="3" borderId="18" xfId="0" applyFont="1" applyFill="1" applyBorder="1" applyAlignment="1" applyProtection="1">
      <alignment horizontal="center" vertical="top" wrapText="1"/>
      <protection locked="0"/>
    </xf>
    <xf numFmtId="0" fontId="14" fillId="3" borderId="19" xfId="0" applyFont="1" applyFill="1" applyBorder="1" applyAlignment="1" applyProtection="1">
      <alignment horizontal="center" vertical="top" wrapText="1"/>
      <protection locked="0"/>
    </xf>
    <xf numFmtId="0" fontId="4" fillId="0" borderId="0" xfId="0" applyFont="1" applyBorder="1" applyAlignment="1" applyProtection="1">
      <alignment horizontal="right" vertical="top" wrapText="1"/>
    </xf>
    <xf numFmtId="0" fontId="4" fillId="0" borderId="28" xfId="0" applyFont="1" applyBorder="1" applyAlignment="1" applyProtection="1">
      <alignment horizontal="right" vertical="top" wrapText="1"/>
    </xf>
    <xf numFmtId="0" fontId="73" fillId="59" borderId="16" xfId="0" applyFont="1" applyFill="1" applyBorder="1" applyAlignment="1" applyProtection="1">
      <alignment horizontal="left" vertical="top" wrapText="1"/>
      <protection locked="0"/>
    </xf>
    <xf numFmtId="0" fontId="14" fillId="3" borderId="18" xfId="0" applyFont="1" applyFill="1" applyBorder="1" applyAlignment="1" applyProtection="1">
      <alignment horizontal="left" vertical="top" wrapText="1"/>
      <protection locked="0"/>
    </xf>
    <xf numFmtId="0" fontId="14" fillId="3" borderId="19" xfId="0" applyFont="1" applyFill="1" applyBorder="1" applyAlignment="1" applyProtection="1">
      <alignment horizontal="left" vertical="top" wrapText="1"/>
      <protection locked="0"/>
    </xf>
    <xf numFmtId="0" fontId="14" fillId="3" borderId="20" xfId="0" applyFont="1" applyFill="1" applyBorder="1" applyAlignment="1" applyProtection="1">
      <alignment horizontal="left" vertical="top" wrapText="1"/>
      <protection locked="0"/>
    </xf>
    <xf numFmtId="0" fontId="14" fillId="3" borderId="16" xfId="0" applyFont="1" applyFill="1" applyBorder="1" applyAlignment="1" applyProtection="1">
      <alignment horizontal="left" vertical="top" wrapText="1"/>
      <protection locked="0"/>
    </xf>
    <xf numFmtId="0" fontId="3" fillId="3" borderId="18" xfId="0" applyFont="1" applyFill="1" applyBorder="1" applyAlignment="1" applyProtection="1">
      <alignment horizontal="left" vertical="top" wrapText="1"/>
      <protection locked="0"/>
    </xf>
    <xf numFmtId="0" fontId="3" fillId="3" borderId="19" xfId="0" applyFont="1" applyFill="1" applyBorder="1" applyAlignment="1" applyProtection="1">
      <alignment horizontal="left" vertical="top" wrapText="1"/>
      <protection locked="0"/>
    </xf>
    <xf numFmtId="0" fontId="3" fillId="3" borderId="20" xfId="0" applyFont="1" applyFill="1" applyBorder="1" applyAlignment="1" applyProtection="1">
      <alignment horizontal="left" vertical="top" wrapText="1"/>
      <protection locked="0"/>
    </xf>
    <xf numFmtId="0" fontId="4" fillId="0" borderId="0" xfId="0" applyFont="1" applyAlignment="1" applyProtection="1">
      <alignment vertical="top" wrapText="1"/>
    </xf>
    <xf numFmtId="0" fontId="3" fillId="0" borderId="0" xfId="0" applyFont="1" applyAlignment="1" applyProtection="1">
      <alignment vertical="top" wrapText="1"/>
    </xf>
    <xf numFmtId="0" fontId="0" fillId="0" borderId="0" xfId="0" applyAlignment="1" applyProtection="1">
      <alignment vertical="top" wrapText="1"/>
    </xf>
    <xf numFmtId="0" fontId="4" fillId="0" borderId="0" xfId="0" applyFont="1" applyAlignment="1">
      <alignment horizontal="right" vertical="center" wrapText="1"/>
    </xf>
    <xf numFmtId="0" fontId="4" fillId="0" borderId="28" xfId="0" applyFont="1" applyBorder="1" applyAlignment="1">
      <alignment horizontal="right" vertical="center" wrapText="1"/>
    </xf>
    <xf numFmtId="0" fontId="7" fillId="0" borderId="0" xfId="0" applyFont="1" applyAlignment="1">
      <alignment horizontal="right" vertical="center" wrapText="1"/>
    </xf>
    <xf numFmtId="0" fontId="7" fillId="0" borderId="28" xfId="0" applyFont="1" applyBorder="1" applyAlignment="1">
      <alignment horizontal="right" vertical="center" wrapText="1"/>
    </xf>
    <xf numFmtId="0" fontId="0" fillId="3" borderId="16" xfId="0" applyFill="1" applyBorder="1" applyAlignment="1">
      <alignment horizontal="center"/>
    </xf>
    <xf numFmtId="0" fontId="0" fillId="0" borderId="16" xfId="0" applyFill="1" applyBorder="1" applyAlignment="1" applyProtection="1">
      <alignment horizontal="left" vertical="top" wrapText="1"/>
      <protection locked="0"/>
    </xf>
    <xf numFmtId="0" fontId="14" fillId="0" borderId="16" xfId="0" applyFont="1" applyFill="1" applyBorder="1" applyAlignment="1" applyProtection="1">
      <alignment horizontal="left" vertical="top" wrapText="1"/>
      <protection locked="0"/>
    </xf>
    <xf numFmtId="0" fontId="0" fillId="3" borderId="16" xfId="0" applyFill="1" applyBorder="1" applyAlignment="1" applyProtection="1">
      <alignment horizontal="left" vertical="top" wrapText="1"/>
      <protection locked="0"/>
    </xf>
    <xf numFmtId="0" fontId="3" fillId="3" borderId="18" xfId="0" applyFont="1" applyFill="1" applyBorder="1" applyAlignment="1" applyProtection="1">
      <alignment horizontal="center" vertical="top" wrapText="1"/>
      <protection locked="0"/>
    </xf>
    <xf numFmtId="0" fontId="3" fillId="3" borderId="19" xfId="0" applyFont="1" applyFill="1" applyBorder="1" applyAlignment="1" applyProtection="1">
      <alignment horizontal="center" vertical="top" wrapText="1"/>
      <protection locked="0"/>
    </xf>
    <xf numFmtId="0" fontId="3" fillId="3" borderId="20" xfId="0" applyFont="1" applyFill="1" applyBorder="1" applyAlignment="1" applyProtection="1">
      <alignment horizontal="center" vertical="top" wrapText="1"/>
      <protection locked="0"/>
    </xf>
    <xf numFmtId="0" fontId="22" fillId="0" borderId="9" xfId="0" applyFont="1" applyBorder="1" applyAlignment="1" applyProtection="1">
      <alignment horizontal="left" vertical="top" wrapText="1"/>
    </xf>
    <xf numFmtId="0" fontId="0" fillId="0" borderId="0" xfId="0" applyAlignment="1" applyProtection="1">
      <alignment horizontal="left" vertical="top" wrapText="1"/>
    </xf>
    <xf numFmtId="0" fontId="0" fillId="0" borderId="6" xfId="0" applyBorder="1" applyAlignment="1" applyProtection="1">
      <alignment horizontal="left" vertical="top" wrapText="1"/>
    </xf>
    <xf numFmtId="0" fontId="70" fillId="3" borderId="16" xfId="0" applyFont="1" applyFill="1" applyBorder="1" applyAlignment="1" applyProtection="1">
      <alignment horizontal="left" vertical="top" wrapText="1"/>
      <protection locked="0"/>
    </xf>
    <xf numFmtId="0" fontId="3" fillId="3" borderId="21" xfId="0" applyFont="1" applyFill="1" applyBorder="1" applyAlignment="1" applyProtection="1">
      <alignment horizontal="center" vertical="top" wrapText="1"/>
      <protection locked="0"/>
    </xf>
    <xf numFmtId="0" fontId="3" fillId="3" borderId="22" xfId="0" applyFont="1" applyFill="1" applyBorder="1" applyAlignment="1" applyProtection="1">
      <alignment horizontal="center" vertical="top" wrapText="1"/>
      <protection locked="0"/>
    </xf>
    <xf numFmtId="0" fontId="3" fillId="3" borderId="23" xfId="0" applyFont="1" applyFill="1" applyBorder="1" applyAlignment="1" applyProtection="1">
      <alignment horizontal="center" vertical="top" wrapText="1"/>
      <protection locked="0"/>
    </xf>
    <xf numFmtId="0" fontId="3" fillId="3" borderId="24" xfId="0" applyFont="1" applyFill="1" applyBorder="1" applyAlignment="1" applyProtection="1">
      <alignment horizontal="center" vertical="top" wrapText="1"/>
      <protection locked="0"/>
    </xf>
    <xf numFmtId="0" fontId="3" fillId="3" borderId="25" xfId="0" applyFont="1" applyFill="1" applyBorder="1" applyAlignment="1" applyProtection="1">
      <alignment horizontal="center" vertical="top" wrapText="1"/>
      <protection locked="0"/>
    </xf>
    <xf numFmtId="0" fontId="3" fillId="3" borderId="26" xfId="0" applyFont="1" applyFill="1" applyBorder="1" applyAlignment="1" applyProtection="1">
      <alignment horizontal="center" vertical="top" wrapText="1"/>
      <protection locked="0"/>
    </xf>
    <xf numFmtId="0" fontId="14" fillId="9" borderId="21" xfId="0" applyFont="1" applyFill="1" applyBorder="1" applyAlignment="1" applyProtection="1">
      <alignment horizontal="center" vertical="top" wrapText="1"/>
      <protection locked="0"/>
    </xf>
    <xf numFmtId="0" fontId="14" fillId="9" borderId="22" xfId="0" applyFont="1" applyFill="1" applyBorder="1" applyAlignment="1" applyProtection="1">
      <alignment horizontal="center" vertical="top" wrapText="1"/>
      <protection locked="0"/>
    </xf>
    <xf numFmtId="0" fontId="14" fillId="9" borderId="27" xfId="0" applyFont="1" applyFill="1" applyBorder="1" applyAlignment="1" applyProtection="1">
      <alignment horizontal="center" vertical="top" wrapText="1"/>
      <protection locked="0"/>
    </xf>
    <xf numFmtId="0" fontId="14" fillId="9" borderId="0" xfId="0" applyFont="1" applyFill="1" applyBorder="1" applyAlignment="1" applyProtection="1">
      <alignment horizontal="center" vertical="top" wrapText="1"/>
      <protection locked="0"/>
    </xf>
    <xf numFmtId="0" fontId="14" fillId="0" borderId="0" xfId="0" applyFont="1" applyFill="1" applyBorder="1" applyAlignment="1" applyProtection="1">
      <alignment horizontal="left" vertical="top" wrapText="1"/>
      <protection locked="0"/>
    </xf>
    <xf numFmtId="0" fontId="4" fillId="3" borderId="14" xfId="0" applyFont="1" applyFill="1" applyBorder="1" applyAlignment="1" applyProtection="1">
      <alignment vertical="top"/>
      <protection locked="0"/>
    </xf>
    <xf numFmtId="0" fontId="4" fillId="3" borderId="7" xfId="0" applyFont="1" applyFill="1" applyBorder="1" applyAlignment="1" applyProtection="1">
      <alignment vertical="top"/>
      <protection locked="0"/>
    </xf>
    <xf numFmtId="0" fontId="17" fillId="3" borderId="14" xfId="2" applyFill="1" applyBorder="1" applyAlignment="1" applyProtection="1">
      <alignment vertical="top"/>
      <protection locked="0"/>
    </xf>
    <xf numFmtId="0" fontId="4" fillId="3" borderId="14" xfId="0" applyFont="1" applyFill="1" applyBorder="1" applyAlignment="1" applyProtection="1">
      <alignment horizontal="left" vertical="top"/>
      <protection locked="0"/>
    </xf>
    <xf numFmtId="0" fontId="4" fillId="3" borderId="7" xfId="0" applyFont="1" applyFill="1" applyBorder="1" applyAlignment="1" applyProtection="1">
      <alignment horizontal="left" vertical="top"/>
      <protection locked="0"/>
    </xf>
    <xf numFmtId="0" fontId="4" fillId="5" borderId="14" xfId="0" applyFont="1" applyFill="1" applyBorder="1" applyAlignment="1" applyProtection="1">
      <alignment vertical="top" wrapText="1"/>
      <protection locked="0"/>
    </xf>
    <xf numFmtId="0" fontId="4" fillId="5" borderId="7" xfId="0" applyFont="1" applyFill="1" applyBorder="1" applyAlignment="1" applyProtection="1">
      <alignment vertical="top" wrapText="1"/>
      <protection locked="0"/>
    </xf>
    <xf numFmtId="0" fontId="4" fillId="0" borderId="14" xfId="0" applyFont="1" applyBorder="1" applyAlignment="1" applyProtection="1">
      <alignment horizontal="center" vertical="top" wrapText="1"/>
      <protection locked="0"/>
    </xf>
    <xf numFmtId="0" fontId="4" fillId="0" borderId="15" xfId="0" applyFont="1" applyBorder="1" applyAlignment="1" applyProtection="1">
      <alignment horizontal="center" vertical="top" wrapText="1"/>
      <protection locked="0"/>
    </xf>
    <xf numFmtId="0" fontId="3" fillId="3" borderId="9" xfId="0" applyFont="1" applyFill="1" applyBorder="1" applyAlignment="1" applyProtection="1">
      <alignment horizontal="center" vertical="top" wrapText="1"/>
      <protection locked="0"/>
    </xf>
    <xf numFmtId="0" fontId="3" fillId="3" borderId="0" xfId="0" applyFont="1" applyFill="1" applyBorder="1" applyAlignment="1" applyProtection="1">
      <alignment horizontal="center" vertical="top" wrapText="1"/>
      <protection locked="0"/>
    </xf>
    <xf numFmtId="17" fontId="4" fillId="0" borderId="14" xfId="0" applyNumberFormat="1" applyFont="1" applyBorder="1" applyAlignment="1" applyProtection="1">
      <alignment vertical="top" wrapText="1"/>
    </xf>
    <xf numFmtId="17" fontId="4" fillId="0" borderId="15" xfId="0" applyNumberFormat="1" applyFont="1" applyBorder="1" applyAlignment="1" applyProtection="1">
      <alignment vertical="top" wrapText="1"/>
    </xf>
    <xf numFmtId="17" fontId="4" fillId="0" borderId="7" xfId="0" applyNumberFormat="1" applyFont="1" applyBorder="1" applyAlignment="1" applyProtection="1">
      <alignment vertical="top" wrapText="1"/>
    </xf>
    <xf numFmtId="0" fontId="3" fillId="0" borderId="14" xfId="0" applyFont="1" applyBorder="1" applyAlignment="1" applyProtection="1">
      <alignment vertical="top" wrapText="1"/>
    </xf>
    <xf numFmtId="0" fontId="3" fillId="0" borderId="7" xfId="0" applyFont="1" applyBorder="1" applyAlignment="1" applyProtection="1">
      <alignment vertical="top" wrapText="1"/>
    </xf>
    <xf numFmtId="0" fontId="4" fillId="0" borderId="1" xfId="0" applyFont="1" applyBorder="1" applyAlignment="1">
      <alignment vertical="top" wrapText="1"/>
    </xf>
    <xf numFmtId="0" fontId="4" fillId="0" borderId="5" xfId="0" applyFont="1" applyBorder="1" applyAlignment="1">
      <alignment vertical="top" wrapText="1"/>
    </xf>
    <xf numFmtId="0" fontId="4" fillId="0" borderId="13" xfId="0" applyFont="1" applyBorder="1" applyAlignment="1">
      <alignment vertical="top" wrapText="1"/>
    </xf>
    <xf numFmtId="0" fontId="12" fillId="0" borderId="14" xfId="0" applyFont="1" applyBorder="1" applyAlignment="1">
      <alignment vertical="top" wrapText="1"/>
    </xf>
    <xf numFmtId="0" fontId="12" fillId="0" borderId="15" xfId="0" applyFont="1" applyBorder="1" applyAlignment="1">
      <alignment vertical="top" wrapText="1"/>
    </xf>
    <xf numFmtId="0" fontId="12" fillId="0" borderId="7" xfId="0" applyFont="1" applyBorder="1" applyAlignment="1">
      <alignment vertical="top" wrapText="1"/>
    </xf>
    <xf numFmtId="0" fontId="4" fillId="0" borderId="14" xfId="0" applyFont="1" applyBorder="1" applyAlignment="1">
      <alignment vertical="top" wrapText="1"/>
    </xf>
    <xf numFmtId="0" fontId="4" fillId="0" borderId="15" xfId="0" applyFont="1" applyBorder="1" applyAlignment="1">
      <alignment vertical="top" wrapText="1"/>
    </xf>
    <xf numFmtId="0" fontId="4" fillId="0" borderId="7" xfId="0" applyFont="1" applyBorder="1" applyAlignment="1">
      <alignment vertical="top" wrapText="1"/>
    </xf>
    <xf numFmtId="0" fontId="4" fillId="0" borderId="29" xfId="0" applyFont="1" applyBorder="1" applyAlignment="1">
      <alignment horizontal="left" vertical="top" wrapText="1"/>
    </xf>
    <xf numFmtId="0" fontId="4" fillId="0" borderId="5" xfId="0" applyFont="1" applyBorder="1" applyAlignment="1">
      <alignment horizontal="lef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3" fillId="0" borderId="9" xfId="0" applyFont="1" applyBorder="1" applyAlignment="1">
      <alignment vertical="top" wrapText="1"/>
    </xf>
    <xf numFmtId="0" fontId="3" fillId="0" borderId="0" xfId="0" applyFont="1" applyAlignment="1">
      <alignment vertical="top" wrapText="1"/>
    </xf>
    <xf numFmtId="0" fontId="3" fillId="0" borderId="6" xfId="0" applyFont="1" applyBorder="1" applyAlignment="1">
      <alignment vertical="top" wrapText="1"/>
    </xf>
    <xf numFmtId="0" fontId="4" fillId="0" borderId="9" xfId="0" applyFont="1" applyBorder="1" applyAlignment="1">
      <alignment vertical="top" wrapText="1"/>
    </xf>
    <xf numFmtId="0" fontId="4" fillId="0" borderId="0" xfId="0" applyFont="1" applyAlignment="1">
      <alignment vertical="top" wrapText="1"/>
    </xf>
    <xf numFmtId="0" fontId="4" fillId="0" borderId="6" xfId="0" applyFont="1" applyBorder="1" applyAlignment="1">
      <alignment vertical="top" wrapText="1"/>
    </xf>
    <xf numFmtId="0" fontId="3" fillId="0" borderId="10" xfId="0" applyFont="1" applyBorder="1" applyAlignment="1">
      <alignment vertical="top" wrapText="1"/>
    </xf>
    <xf numFmtId="0" fontId="3" fillId="0" borderId="11" xfId="0" applyFont="1" applyBorder="1" applyAlignment="1">
      <alignment vertical="top" wrapText="1"/>
    </xf>
    <xf numFmtId="0" fontId="3" fillId="0" borderId="8" xfId="0" applyFont="1" applyBorder="1" applyAlignment="1">
      <alignment vertical="top" wrapText="1"/>
    </xf>
    <xf numFmtId="0" fontId="4" fillId="0" borderId="4" xfId="0" applyFont="1" applyBorder="1" applyAlignment="1" applyProtection="1">
      <alignment horizontal="center" vertical="top" wrapText="1"/>
    </xf>
    <xf numFmtId="0" fontId="4" fillId="0" borderId="8" xfId="0" applyFont="1" applyBorder="1" applyAlignment="1" applyProtection="1">
      <alignment horizontal="center" vertical="top" wrapText="1"/>
    </xf>
    <xf numFmtId="0" fontId="4" fillId="0" borderId="1" xfId="0" applyFont="1" applyBorder="1" applyAlignment="1" applyProtection="1">
      <alignment horizontal="center" vertical="top"/>
    </xf>
    <xf numFmtId="0" fontId="4" fillId="0" borderId="13" xfId="0" applyFont="1" applyBorder="1" applyAlignment="1" applyProtection="1">
      <alignment horizontal="center" vertical="top"/>
    </xf>
    <xf numFmtId="0" fontId="4" fillId="0" borderId="16" xfId="0" applyFont="1" applyBorder="1" applyAlignment="1" applyProtection="1">
      <alignment vertical="top" wrapText="1"/>
    </xf>
    <xf numFmtId="0" fontId="12" fillId="0" borderId="16" xfId="0" applyFont="1" applyBorder="1" applyAlignment="1" applyProtection="1">
      <alignment vertical="top" wrapText="1"/>
    </xf>
    <xf numFmtId="0" fontId="4" fillId="0" borderId="1" xfId="0" applyFont="1" applyBorder="1" applyAlignment="1" applyProtection="1">
      <alignment horizontal="center" vertical="top" wrapText="1"/>
    </xf>
    <xf numFmtId="0" fontId="4" fillId="0" borderId="13" xfId="0" applyFont="1" applyBorder="1" applyAlignment="1" applyProtection="1">
      <alignment horizontal="center" vertical="top" wrapText="1"/>
    </xf>
    <xf numFmtId="0" fontId="4" fillId="0" borderId="29" xfId="0" applyFont="1" applyBorder="1" applyAlignment="1" applyProtection="1">
      <alignment horizontal="left" vertical="top" wrapText="1"/>
    </xf>
    <xf numFmtId="0" fontId="27" fillId="0" borderId="9" xfId="0" applyFont="1" applyBorder="1" applyAlignment="1" applyProtection="1">
      <alignment vertical="top" wrapText="1"/>
    </xf>
    <xf numFmtId="0" fontId="27" fillId="0" borderId="0" xfId="0" applyFont="1" applyAlignment="1" applyProtection="1">
      <alignment vertical="top" wrapText="1"/>
    </xf>
    <xf numFmtId="0" fontId="27" fillId="0" borderId="6" xfId="0" applyFont="1" applyBorder="1" applyAlignment="1" applyProtection="1">
      <alignment vertical="top" wrapText="1"/>
    </xf>
    <xf numFmtId="0" fontId="4" fillId="0" borderId="16" xfId="0" applyFont="1" applyBorder="1" applyAlignment="1" applyProtection="1">
      <alignment vertical="top"/>
    </xf>
    <xf numFmtId="0" fontId="12" fillId="0" borderId="16" xfId="0" applyFont="1" applyBorder="1" applyAlignment="1" applyProtection="1">
      <alignment vertical="top"/>
    </xf>
    <xf numFmtId="0" fontId="0" fillId="3" borderId="16" xfId="0" applyNumberFormat="1" applyFill="1" applyBorder="1" applyAlignment="1" applyProtection="1">
      <alignment horizontal="left" vertical="top" wrapText="1"/>
      <protection locked="0"/>
    </xf>
    <xf numFmtId="0" fontId="4" fillId="3" borderId="9" xfId="0" applyFont="1" applyFill="1" applyBorder="1" applyAlignment="1" applyProtection="1">
      <alignment horizontal="left" vertical="top" wrapText="1"/>
    </xf>
    <xf numFmtId="0" fontId="4" fillId="3" borderId="0" xfId="0" applyFont="1" applyFill="1" applyBorder="1" applyAlignment="1" applyProtection="1">
      <alignment horizontal="left" vertical="top" wrapText="1"/>
    </xf>
    <xf numFmtId="0" fontId="4" fillId="3" borderId="9"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protection locked="0"/>
    </xf>
    <xf numFmtId="0" fontId="4" fillId="0" borderId="1"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8" fillId="0" borderId="13" xfId="0" applyFont="1" applyBorder="1" applyAlignment="1" applyProtection="1">
      <alignment horizontal="center" vertical="center" wrapText="1"/>
    </xf>
    <xf numFmtId="0" fontId="4" fillId="0" borderId="9" xfId="0" applyFont="1" applyBorder="1" applyAlignment="1" applyProtection="1">
      <alignment horizontal="left" vertical="top" wrapText="1"/>
    </xf>
    <xf numFmtId="0" fontId="4" fillId="0" borderId="0" xfId="0" applyFont="1" applyBorder="1" applyAlignment="1" applyProtection="1">
      <alignment horizontal="left" vertical="top" wrapText="1"/>
    </xf>
    <xf numFmtId="0" fontId="8" fillId="0" borderId="1" xfId="0" applyFont="1" applyBorder="1" applyAlignment="1" applyProtection="1">
      <alignment horizontal="center" vertical="center"/>
    </xf>
    <xf numFmtId="0" fontId="8" fillId="0" borderId="13" xfId="0" applyFont="1" applyBorder="1" applyAlignment="1" applyProtection="1">
      <alignment horizontal="center" vertical="center"/>
    </xf>
    <xf numFmtId="0" fontId="4" fillId="0" borderId="29" xfId="0" applyFont="1" applyBorder="1" applyAlignment="1" applyProtection="1">
      <alignment vertical="top" wrapText="1"/>
    </xf>
    <xf numFmtId="0" fontId="8" fillId="0" borderId="16" xfId="0" applyFont="1" applyBorder="1" applyAlignment="1">
      <alignment horizontal="center" vertical="top" wrapText="1"/>
    </xf>
    <xf numFmtId="0" fontId="4" fillId="0" borderId="10" xfId="0" applyFont="1" applyBorder="1" applyAlignment="1">
      <alignment vertical="top" wrapText="1"/>
    </xf>
    <xf numFmtId="0" fontId="4" fillId="0" borderId="11" xfId="0" applyFont="1" applyBorder="1" applyAlignment="1">
      <alignment vertical="top" wrapText="1"/>
    </xf>
    <xf numFmtId="0" fontId="4" fillId="0" borderId="8" xfId="0" applyFont="1" applyBorder="1" applyAlignment="1">
      <alignment vertical="top" wrapText="1"/>
    </xf>
    <xf numFmtId="0" fontId="4" fillId="0" borderId="29" xfId="0" applyFont="1" applyBorder="1" applyAlignment="1">
      <alignment horizontal="center" vertical="top" wrapText="1"/>
    </xf>
    <xf numFmtId="0" fontId="4" fillId="0" borderId="5" xfId="0" applyFont="1" applyBorder="1" applyAlignment="1">
      <alignment horizontal="center" vertical="top" wrapText="1"/>
    </xf>
    <xf numFmtId="0" fontId="29" fillId="0" borderId="1" xfId="0" applyFont="1" applyBorder="1" applyAlignment="1">
      <alignment horizontal="center" vertical="center" wrapText="1"/>
    </xf>
    <xf numFmtId="0" fontId="29" fillId="0" borderId="13" xfId="0" applyFont="1" applyBorder="1" applyAlignment="1">
      <alignment horizontal="center" vertical="center" wrapText="1"/>
    </xf>
    <xf numFmtId="0" fontId="3" fillId="3" borderId="21" xfId="0" applyFont="1" applyFill="1" applyBorder="1" applyAlignment="1">
      <alignment horizontal="left" vertical="top" wrapText="1"/>
    </xf>
    <xf numFmtId="0" fontId="3" fillId="3" borderId="22" xfId="0" applyFont="1" applyFill="1" applyBorder="1" applyAlignment="1">
      <alignment horizontal="left" vertical="top" wrapText="1"/>
    </xf>
    <xf numFmtId="0" fontId="3" fillId="3" borderId="23" xfId="0" applyFont="1" applyFill="1" applyBorder="1" applyAlignment="1">
      <alignment horizontal="left" vertical="top" wrapText="1"/>
    </xf>
    <xf numFmtId="0" fontId="3" fillId="3" borderId="27" xfId="0" applyFont="1" applyFill="1" applyBorder="1" applyAlignment="1">
      <alignment horizontal="left" vertical="top" wrapText="1"/>
    </xf>
    <xf numFmtId="0" fontId="3" fillId="3" borderId="0" xfId="0" applyFont="1" applyFill="1" applyBorder="1" applyAlignment="1">
      <alignment horizontal="left" vertical="top" wrapText="1"/>
    </xf>
    <xf numFmtId="0" fontId="3" fillId="3" borderId="28" xfId="0" applyFont="1" applyFill="1" applyBorder="1" applyAlignment="1">
      <alignment horizontal="left" vertical="top" wrapText="1"/>
    </xf>
    <xf numFmtId="0" fontId="8" fillId="0" borderId="4" xfId="0" applyFont="1" applyBorder="1" applyAlignment="1">
      <alignment horizontal="center" vertical="top" wrapText="1"/>
    </xf>
    <xf numFmtId="0" fontId="8" fillId="0" borderId="8" xfId="0" applyFont="1" applyBorder="1" applyAlignment="1">
      <alignment horizontal="center" vertical="top"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3"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12" fillId="0" borderId="4" xfId="0" applyFont="1" applyBorder="1" applyAlignment="1">
      <alignment vertical="top"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vertical="top"/>
    </xf>
    <xf numFmtId="0" fontId="4" fillId="0" borderId="15" xfId="0" applyFont="1" applyBorder="1" applyAlignment="1">
      <alignment horizontal="left" vertical="center"/>
    </xf>
    <xf numFmtId="0" fontId="4" fillId="0" borderId="7" xfId="0" applyFont="1" applyBorder="1" applyAlignment="1">
      <alignment horizontal="left" vertical="center"/>
    </xf>
    <xf numFmtId="0" fontId="4" fillId="0" borderId="14" xfId="0" applyFont="1" applyBorder="1" applyAlignment="1">
      <alignment horizontal="left" vertical="center"/>
    </xf>
    <xf numFmtId="0" fontId="4" fillId="0" borderId="17" xfId="0" applyFont="1" applyBorder="1" applyAlignment="1">
      <alignment vertical="top" wrapText="1"/>
    </xf>
    <xf numFmtId="0" fontId="4" fillId="0" borderId="15" xfId="0" applyFont="1" applyBorder="1" applyAlignment="1">
      <alignment vertical="top"/>
    </xf>
    <xf numFmtId="0" fontId="4" fillId="0" borderId="7" xfId="0" applyFont="1" applyBorder="1" applyAlignment="1">
      <alignment vertical="top"/>
    </xf>
    <xf numFmtId="0" fontId="8" fillId="0" borderId="1" xfId="0" applyFont="1" applyBorder="1" applyAlignment="1">
      <alignment vertical="top" wrapText="1"/>
    </xf>
    <xf numFmtId="0" fontId="8" fillId="0" borderId="5" xfId="0" applyFont="1" applyBorder="1" applyAlignment="1">
      <alignment vertical="top" wrapText="1"/>
    </xf>
    <xf numFmtId="0" fontId="8" fillId="0" borderId="13" xfId="0" applyFont="1" applyBorder="1" applyAlignment="1">
      <alignment vertical="top" wrapText="1"/>
    </xf>
    <xf numFmtId="0" fontId="4" fillId="0" borderId="15" xfId="0" applyFont="1" applyBorder="1" applyAlignment="1">
      <alignment horizontal="left" vertical="center" wrapText="1"/>
    </xf>
    <xf numFmtId="0" fontId="4" fillId="0" borderId="3" xfId="0" applyFont="1" applyBorder="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4" fillId="3" borderId="9" xfId="0" applyFont="1" applyFill="1" applyBorder="1" applyAlignment="1">
      <alignment horizontal="left" vertical="top" wrapText="1"/>
    </xf>
    <xf numFmtId="0" fontId="4" fillId="3" borderId="0" xfId="0" applyFont="1" applyFill="1" applyBorder="1" applyAlignment="1">
      <alignment horizontal="left" vertical="top" wrapText="1"/>
    </xf>
    <xf numFmtId="0" fontId="3" fillId="3" borderId="9" xfId="0" applyFont="1" applyFill="1" applyBorder="1" applyAlignment="1" applyProtection="1">
      <alignment horizontal="left" vertical="top" wrapText="1"/>
      <protection locked="0"/>
    </xf>
    <xf numFmtId="0" fontId="3" fillId="3" borderId="0" xfId="0" applyFont="1" applyFill="1" applyBorder="1" applyAlignment="1" applyProtection="1">
      <alignment horizontal="left" vertical="top" wrapText="1"/>
      <protection locked="0"/>
    </xf>
    <xf numFmtId="0" fontId="4" fillId="0" borderId="4" xfId="0" applyFont="1" applyBorder="1" applyAlignment="1">
      <alignment horizontal="center" vertical="top" wrapText="1"/>
    </xf>
    <xf numFmtId="0" fontId="4" fillId="0" borderId="8" xfId="0" applyFont="1" applyBorder="1" applyAlignment="1">
      <alignment horizontal="center" vertical="top" wrapText="1"/>
    </xf>
    <xf numFmtId="3" fontId="4" fillId="3" borderId="1" xfId="0" applyNumberFormat="1" applyFont="1" applyFill="1" applyBorder="1" applyAlignment="1" applyProtection="1">
      <alignment horizontal="center" vertical="top" wrapText="1"/>
      <protection locked="0"/>
    </xf>
    <xf numFmtId="3" fontId="4" fillId="3" borderId="13" xfId="0" applyNumberFormat="1" applyFont="1" applyFill="1" applyBorder="1" applyAlignment="1" applyProtection="1">
      <alignment horizontal="center" vertical="top" wrapText="1"/>
      <protection locked="0"/>
    </xf>
    <xf numFmtId="0" fontId="41" fillId="3" borderId="2" xfId="0" applyFont="1" applyFill="1" applyBorder="1" applyAlignment="1">
      <alignment horizontal="center" vertical="center" wrapText="1"/>
    </xf>
    <xf numFmtId="0" fontId="41" fillId="3" borderId="10" xfId="0" applyFont="1" applyFill="1" applyBorder="1" applyAlignment="1">
      <alignment horizontal="center" vertical="center" wrapText="1"/>
    </xf>
    <xf numFmtId="0" fontId="4" fillId="3" borderId="21" xfId="0" applyFont="1" applyFill="1" applyBorder="1" applyAlignment="1" applyProtection="1">
      <alignment horizontal="left" vertical="top" wrapText="1"/>
      <protection locked="0"/>
    </xf>
    <xf numFmtId="0" fontId="4" fillId="3" borderId="22" xfId="0" applyFont="1" applyFill="1" applyBorder="1" applyAlignment="1" applyProtection="1">
      <alignment horizontal="left" vertical="top" wrapText="1"/>
      <protection locked="0"/>
    </xf>
    <xf numFmtId="0" fontId="4" fillId="3" borderId="23" xfId="0" applyFont="1" applyFill="1" applyBorder="1" applyAlignment="1" applyProtection="1">
      <alignment horizontal="left" vertical="top" wrapText="1"/>
      <protection locked="0"/>
    </xf>
    <xf numFmtId="0" fontId="4" fillId="3" borderId="24" xfId="0" applyFont="1" applyFill="1" applyBorder="1" applyAlignment="1" applyProtection="1">
      <alignment horizontal="left" vertical="top" wrapText="1"/>
      <protection locked="0"/>
    </xf>
    <xf numFmtId="0" fontId="4" fillId="3" borderId="25" xfId="0" applyFont="1" applyFill="1" applyBorder="1" applyAlignment="1" applyProtection="1">
      <alignment horizontal="left" vertical="top" wrapText="1"/>
      <protection locked="0"/>
    </xf>
    <xf numFmtId="0" fontId="4" fillId="3" borderId="26" xfId="0" applyFont="1" applyFill="1" applyBorder="1" applyAlignment="1" applyProtection="1">
      <alignment horizontal="left" vertical="top" wrapText="1"/>
      <protection locked="0"/>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3" fillId="3" borderId="2" xfId="0" applyFont="1" applyFill="1" applyBorder="1" applyAlignment="1" applyProtection="1">
      <alignment horizontal="center" vertical="top" wrapText="1"/>
      <protection locked="0"/>
    </xf>
    <xf numFmtId="0" fontId="3" fillId="3" borderId="3" xfId="0" applyFont="1" applyFill="1" applyBorder="1" applyAlignment="1" applyProtection="1">
      <alignment horizontal="center" vertical="top" wrapText="1"/>
      <protection locked="0"/>
    </xf>
    <xf numFmtId="0" fontId="3" fillId="3" borderId="4" xfId="0" applyFont="1" applyFill="1" applyBorder="1" applyAlignment="1" applyProtection="1">
      <alignment horizontal="center" vertical="top" wrapText="1"/>
      <protection locked="0"/>
    </xf>
    <xf numFmtId="0" fontId="3" fillId="3" borderId="10" xfId="0" applyFont="1" applyFill="1" applyBorder="1" applyAlignment="1" applyProtection="1">
      <alignment horizontal="center" vertical="top" wrapText="1"/>
      <protection locked="0"/>
    </xf>
    <xf numFmtId="0" fontId="3" fillId="3" borderId="11" xfId="0" applyFont="1" applyFill="1" applyBorder="1" applyAlignment="1" applyProtection="1">
      <alignment horizontal="center" vertical="top" wrapText="1"/>
      <protection locked="0"/>
    </xf>
    <xf numFmtId="0" fontId="3" fillId="3" borderId="8" xfId="0" applyFont="1" applyFill="1" applyBorder="1" applyAlignment="1" applyProtection="1">
      <alignment horizontal="center" vertical="top" wrapText="1"/>
      <protection locked="0"/>
    </xf>
    <xf numFmtId="0" fontId="12" fillId="0" borderId="9" xfId="0" applyFont="1" applyBorder="1" applyAlignment="1">
      <alignment vertical="top" wrapText="1"/>
    </xf>
    <xf numFmtId="0" fontId="12" fillId="0" borderId="0" xfId="0" applyFont="1" applyAlignment="1">
      <alignment vertical="top" wrapText="1"/>
    </xf>
    <xf numFmtId="0" fontId="12" fillId="0" borderId="6" xfId="0" applyFont="1" applyBorder="1" applyAlignment="1">
      <alignment vertical="top" wrapText="1"/>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12" fillId="0" borderId="16" xfId="0" applyFont="1" applyBorder="1" applyAlignment="1">
      <alignment vertical="top" wrapText="1"/>
    </xf>
    <xf numFmtId="0" fontId="4" fillId="0" borderId="16" xfId="0" applyFont="1" applyBorder="1" applyAlignment="1">
      <alignment vertical="top" wrapText="1"/>
    </xf>
    <xf numFmtId="0" fontId="3" fillId="3" borderId="21" xfId="0" applyFont="1" applyFill="1" applyBorder="1" applyAlignment="1">
      <alignment horizontal="center" vertical="top" wrapText="1"/>
    </xf>
    <xf numFmtId="0" fontId="3" fillId="3" borderId="22" xfId="0" applyFont="1" applyFill="1" applyBorder="1" applyAlignment="1">
      <alignment horizontal="center" vertical="top" wrapText="1"/>
    </xf>
    <xf numFmtId="0" fontId="3" fillId="3" borderId="23" xfId="0" applyFont="1" applyFill="1" applyBorder="1" applyAlignment="1">
      <alignment horizontal="center" vertical="top" wrapText="1"/>
    </xf>
    <xf numFmtId="0" fontId="3" fillId="3" borderId="24" xfId="0" applyFont="1" applyFill="1" applyBorder="1" applyAlignment="1">
      <alignment horizontal="center" vertical="top" wrapText="1"/>
    </xf>
    <xf numFmtId="0" fontId="3" fillId="3" borderId="25" xfId="0" applyFont="1" applyFill="1" applyBorder="1" applyAlignment="1">
      <alignment horizontal="center" vertical="top" wrapText="1"/>
    </xf>
    <xf numFmtId="0" fontId="3" fillId="3" borderId="26" xfId="0" applyFont="1" applyFill="1" applyBorder="1" applyAlignment="1">
      <alignment horizontal="center" vertical="top" wrapText="1"/>
    </xf>
    <xf numFmtId="0" fontId="12" fillId="0" borderId="0" xfId="0" applyFont="1" applyBorder="1" applyAlignment="1">
      <alignment vertical="top" wrapText="1"/>
    </xf>
    <xf numFmtId="0" fontId="12" fillId="0" borderId="10" xfId="0" applyFont="1" applyBorder="1" applyAlignment="1">
      <alignment vertical="top" wrapText="1"/>
    </xf>
    <xf numFmtId="0" fontId="12" fillId="0" borderId="11" xfId="0" applyFont="1" applyBorder="1" applyAlignment="1">
      <alignment vertical="top" wrapText="1"/>
    </xf>
    <xf numFmtId="0" fontId="12" fillId="0" borderId="8" xfId="0" applyFont="1" applyBorder="1" applyAlignment="1">
      <alignment vertical="top" wrapText="1"/>
    </xf>
    <xf numFmtId="0" fontId="4" fillId="0" borderId="0" xfId="0" applyFont="1" applyBorder="1" applyAlignment="1">
      <alignment vertical="top" wrapText="1"/>
    </xf>
    <xf numFmtId="0" fontId="29" fillId="0" borderId="5"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7" xfId="0" applyFont="1" applyBorder="1" applyAlignment="1">
      <alignment horizontal="center" vertical="center" wrapText="1"/>
    </xf>
    <xf numFmtId="0" fontId="3" fillId="0" borderId="4" xfId="0" applyFont="1" applyBorder="1" applyAlignment="1">
      <alignment vertical="top"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10"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8" xfId="0" applyFont="1" applyFill="1" applyBorder="1" applyAlignment="1">
      <alignment horizontal="left" vertical="top" wrapText="1"/>
    </xf>
    <xf numFmtId="0" fontId="4" fillId="0" borderId="14" xfId="0" applyFont="1" applyBorder="1" applyAlignment="1">
      <alignment horizontal="center" vertical="top" wrapText="1"/>
    </xf>
    <xf numFmtId="0" fontId="4" fillId="0" borderId="15" xfId="0" applyFont="1" applyBorder="1" applyAlignment="1">
      <alignment horizontal="center" vertical="top" wrapText="1"/>
    </xf>
    <xf numFmtId="0" fontId="4" fillId="0" borderId="7" xfId="0" applyFont="1" applyBorder="1" applyAlignment="1">
      <alignment horizontal="center" vertical="top" wrapText="1"/>
    </xf>
    <xf numFmtId="0" fontId="12" fillId="0" borderId="6" xfId="0" applyFont="1" applyBorder="1" applyAlignment="1">
      <alignment horizontal="left" vertical="center" wrapText="1"/>
    </xf>
    <xf numFmtId="0" fontId="3" fillId="0" borderId="8" xfId="0" applyFont="1" applyBorder="1" applyAlignment="1">
      <alignment horizontal="left" vertical="center" wrapText="1"/>
    </xf>
    <xf numFmtId="10" fontId="3" fillId="3" borderId="16" xfId="0" applyNumberFormat="1" applyFont="1" applyFill="1" applyBorder="1" applyAlignment="1" applyProtection="1">
      <alignment horizontal="center" vertical="center"/>
      <protection locked="0"/>
    </xf>
    <xf numFmtId="9" fontId="3" fillId="3" borderId="16" xfId="0" applyNumberFormat="1" applyFont="1" applyFill="1" applyBorder="1" applyAlignment="1" applyProtection="1">
      <alignment horizontal="center" vertical="center"/>
      <protection locked="0"/>
    </xf>
    <xf numFmtId="9" fontId="3" fillId="3" borderId="16" xfId="4" applyNumberFormat="1" applyFont="1" applyFill="1" applyBorder="1" applyAlignment="1" applyProtection="1">
      <alignment horizontal="center" vertical="center"/>
      <protection locked="0"/>
    </xf>
    <xf numFmtId="0" fontId="3" fillId="3" borderId="2" xfId="0" applyFont="1" applyFill="1" applyBorder="1" applyAlignment="1" applyProtection="1">
      <alignment horizontal="left" vertical="top" wrapText="1"/>
      <protection locked="0"/>
    </xf>
    <xf numFmtId="0" fontId="3" fillId="3" borderId="3" xfId="0" applyFont="1" applyFill="1" applyBorder="1" applyAlignment="1" applyProtection="1">
      <alignment horizontal="left" vertical="top" wrapText="1"/>
      <protection locked="0"/>
    </xf>
    <xf numFmtId="0" fontId="3" fillId="3" borderId="4" xfId="0" applyFont="1" applyFill="1" applyBorder="1" applyAlignment="1" applyProtection="1">
      <alignment horizontal="left" vertical="top" wrapText="1"/>
      <protection locked="0"/>
    </xf>
    <xf numFmtId="0" fontId="3" fillId="3" borderId="10" xfId="0" applyFont="1" applyFill="1" applyBorder="1" applyAlignment="1" applyProtection="1">
      <alignment horizontal="left" vertical="top" wrapText="1"/>
      <protection locked="0"/>
    </xf>
    <xf numFmtId="0" fontId="3" fillId="3" borderId="11" xfId="0" applyFont="1" applyFill="1" applyBorder="1" applyAlignment="1" applyProtection="1">
      <alignment horizontal="left" vertical="top" wrapText="1"/>
      <protection locked="0"/>
    </xf>
    <xf numFmtId="0" fontId="3" fillId="3" borderId="8" xfId="0" applyFont="1" applyFill="1" applyBorder="1" applyAlignment="1" applyProtection="1">
      <alignment horizontal="left" vertical="top" wrapText="1"/>
      <protection locked="0"/>
    </xf>
    <xf numFmtId="0" fontId="3" fillId="0" borderId="4" xfId="0" applyFont="1" applyBorder="1" applyAlignment="1">
      <alignment horizontal="center" vertical="top" wrapText="1"/>
    </xf>
    <xf numFmtId="0" fontId="3" fillId="0" borderId="6" xfId="0" applyFont="1" applyBorder="1" applyAlignment="1">
      <alignment horizontal="center" vertical="top" wrapText="1"/>
    </xf>
    <xf numFmtId="0" fontId="3" fillId="0" borderId="8" xfId="0" applyFont="1" applyBorder="1" applyAlignment="1">
      <alignment horizontal="center" vertical="top" wrapText="1"/>
    </xf>
    <xf numFmtId="0" fontId="3" fillId="0" borderId="1" xfId="0" applyFont="1" applyBorder="1" applyAlignment="1">
      <alignment vertical="top"/>
    </xf>
    <xf numFmtId="0" fontId="3" fillId="0" borderId="5" xfId="0" applyFont="1" applyBorder="1" applyAlignment="1">
      <alignment vertical="top"/>
    </xf>
    <xf numFmtId="0" fontId="3" fillId="0" borderId="13" xfId="0" applyFont="1" applyBorder="1" applyAlignment="1">
      <alignment vertical="top"/>
    </xf>
    <xf numFmtId="0" fontId="3" fillId="0" borderId="14" xfId="0" applyFont="1" applyBorder="1" applyAlignment="1">
      <alignment vertical="top"/>
    </xf>
    <xf numFmtId="0" fontId="3" fillId="0" borderId="7" xfId="0" applyFont="1" applyBorder="1" applyAlignment="1">
      <alignment vertical="top"/>
    </xf>
    <xf numFmtId="0" fontId="3" fillId="0" borderId="1" xfId="0" applyFont="1" applyBorder="1" applyAlignment="1">
      <alignment vertical="top" wrapText="1"/>
    </xf>
    <xf numFmtId="0" fontId="3" fillId="0" borderId="5" xfId="0" applyFont="1" applyBorder="1" applyAlignment="1">
      <alignment vertical="top" wrapText="1"/>
    </xf>
    <xf numFmtId="0" fontId="3" fillId="0" borderId="13" xfId="0" applyFont="1" applyBorder="1" applyAlignment="1">
      <alignment vertical="top" wrapText="1"/>
    </xf>
    <xf numFmtId="0" fontId="14" fillId="33" borderId="0" xfId="0" applyFont="1" applyFill="1" applyBorder="1" applyAlignment="1" applyProtection="1">
      <alignment horizontal="left" vertical="top" wrapText="1"/>
      <protection locked="0"/>
    </xf>
    <xf numFmtId="0" fontId="0" fillId="3" borderId="27" xfId="0" applyFill="1" applyBorder="1" applyAlignment="1" applyProtection="1">
      <alignment horizontal="left" vertical="top" wrapText="1"/>
      <protection locked="0"/>
    </xf>
    <xf numFmtId="0" fontId="0" fillId="3" borderId="0" xfId="0" applyFill="1" applyAlignment="1" applyProtection="1">
      <alignment horizontal="left" vertical="top" wrapText="1"/>
      <protection locked="0"/>
    </xf>
    <xf numFmtId="0" fontId="3" fillId="3" borderId="14" xfId="0" applyFont="1" applyFill="1" applyBorder="1" applyAlignment="1" applyProtection="1">
      <alignment horizontal="left" vertical="top"/>
      <protection locked="0"/>
    </xf>
    <xf numFmtId="0" fontId="3" fillId="3" borderId="15" xfId="0" applyFont="1" applyFill="1" applyBorder="1" applyAlignment="1" applyProtection="1">
      <alignment horizontal="left" vertical="top"/>
      <protection locked="0"/>
    </xf>
    <xf numFmtId="0" fontId="3" fillId="3" borderId="7" xfId="0" applyFont="1" applyFill="1" applyBorder="1" applyAlignment="1" applyProtection="1">
      <alignment horizontal="left" vertical="top"/>
      <protection locked="0"/>
    </xf>
    <xf numFmtId="0" fontId="12" fillId="0" borderId="9" xfId="0" applyFont="1" applyBorder="1" applyAlignment="1" applyProtection="1">
      <alignment vertical="top" wrapText="1"/>
    </xf>
    <xf numFmtId="0" fontId="12" fillId="0" borderId="0" xfId="0" applyFont="1" applyAlignment="1" applyProtection="1">
      <alignment vertical="top" wrapText="1"/>
    </xf>
    <xf numFmtId="0" fontId="12" fillId="0" borderId="6" xfId="0" applyFont="1" applyBorder="1" applyAlignment="1" applyProtection="1">
      <alignment vertical="top" wrapText="1"/>
    </xf>
    <xf numFmtId="0" fontId="3" fillId="3" borderId="21" xfId="0" applyFont="1" applyFill="1" applyBorder="1" applyAlignment="1" applyProtection="1">
      <alignment horizontal="left" vertical="top" wrapText="1"/>
      <protection locked="0"/>
    </xf>
    <xf numFmtId="0" fontId="3" fillId="3" borderId="22" xfId="0" applyFont="1" applyFill="1" applyBorder="1" applyAlignment="1" applyProtection="1">
      <alignment horizontal="left" vertical="top" wrapText="1"/>
      <protection locked="0"/>
    </xf>
    <xf numFmtId="0" fontId="3" fillId="3" borderId="23" xfId="0" applyFont="1" applyFill="1" applyBorder="1" applyAlignment="1" applyProtection="1">
      <alignment horizontal="left" vertical="top" wrapText="1"/>
      <protection locked="0"/>
    </xf>
    <xf numFmtId="0" fontId="3" fillId="3" borderId="24" xfId="0" applyFont="1" applyFill="1" applyBorder="1" applyAlignment="1" applyProtection="1">
      <alignment horizontal="left" vertical="top" wrapText="1"/>
      <protection locked="0"/>
    </xf>
    <xf numFmtId="0" fontId="3" fillId="3" borderId="25" xfId="0" applyFont="1" applyFill="1" applyBorder="1" applyAlignment="1" applyProtection="1">
      <alignment horizontal="left" vertical="top" wrapText="1"/>
      <protection locked="0"/>
    </xf>
    <xf numFmtId="0" fontId="3" fillId="3" borderId="26" xfId="0" applyFont="1" applyFill="1" applyBorder="1" applyAlignment="1" applyProtection="1">
      <alignment horizontal="left" vertical="top" wrapText="1"/>
      <protection locked="0"/>
    </xf>
    <xf numFmtId="0" fontId="14" fillId="3" borderId="0" xfId="0" applyFont="1" applyFill="1" applyBorder="1" applyAlignment="1" applyProtection="1">
      <alignment horizontal="left" vertical="top" wrapText="1"/>
      <protection locked="0"/>
    </xf>
    <xf numFmtId="0" fontId="12" fillId="0" borderId="0" xfId="0" applyFont="1" applyAlignment="1">
      <alignment horizontal="left" vertical="center" wrapText="1"/>
    </xf>
    <xf numFmtId="0" fontId="4" fillId="0" borderId="11" xfId="0" applyFont="1" applyBorder="1" applyAlignment="1">
      <alignment horizontal="left" vertical="center" wrapText="1"/>
    </xf>
    <xf numFmtId="0" fontId="4" fillId="0" borderId="4" xfId="0" applyFont="1" applyBorder="1" applyAlignment="1">
      <alignment vertical="top"/>
    </xf>
    <xf numFmtId="0" fontId="4" fillId="0" borderId="17" xfId="0" applyFont="1" applyBorder="1" applyAlignment="1">
      <alignment vertical="top"/>
    </xf>
    <xf numFmtId="0" fontId="3" fillId="0" borderId="2" xfId="0" applyFont="1" applyBorder="1" applyAlignment="1">
      <alignment vertical="top" wrapText="1"/>
    </xf>
    <xf numFmtId="0" fontId="3" fillId="0" borderId="3" xfId="0" applyFont="1" applyBorder="1" applyAlignment="1">
      <alignment vertical="top" wrapText="1"/>
    </xf>
    <xf numFmtId="0" fontId="4" fillId="0" borderId="1" xfId="0" applyFont="1" applyBorder="1" applyAlignment="1" applyProtection="1">
      <alignment vertical="top" wrapText="1"/>
      <protection locked="0"/>
    </xf>
    <xf numFmtId="0" fontId="4" fillId="0" borderId="5" xfId="0" applyFont="1" applyBorder="1" applyAlignment="1" applyProtection="1">
      <alignment vertical="top" wrapText="1"/>
      <protection locked="0"/>
    </xf>
    <xf numFmtId="0" fontId="4" fillId="0" borderId="13" xfId="0" applyFont="1" applyBorder="1" applyAlignment="1" applyProtection="1">
      <alignment vertical="top" wrapText="1"/>
      <protection locked="0"/>
    </xf>
    <xf numFmtId="0" fontId="4" fillId="0" borderId="14" xfId="0" applyFont="1" applyBorder="1" applyAlignment="1" applyProtection="1">
      <alignment vertical="top"/>
    </xf>
    <xf numFmtId="0" fontId="4" fillId="0" borderId="7" xfId="0" applyFont="1" applyBorder="1" applyAlignment="1" applyProtection="1">
      <alignment vertical="top"/>
    </xf>
    <xf numFmtId="0" fontId="4" fillId="0" borderId="14" xfId="0" applyFont="1" applyBorder="1" applyAlignment="1" applyProtection="1">
      <alignment vertical="top" wrapText="1"/>
      <protection locked="0"/>
    </xf>
    <xf numFmtId="0" fontId="4" fillId="0" borderId="15"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12" fillId="0" borderId="14" xfId="0" applyFont="1" applyBorder="1" applyAlignment="1" applyProtection="1">
      <alignment vertical="top" wrapText="1"/>
      <protection locked="0"/>
    </xf>
    <xf numFmtId="0" fontId="12" fillId="0" borderId="15" xfId="0" applyFont="1" applyBorder="1" applyAlignment="1" applyProtection="1">
      <alignment vertical="top" wrapText="1"/>
      <protection locked="0"/>
    </xf>
    <xf numFmtId="0" fontId="12" fillId="0" borderId="7" xfId="0" applyFont="1" applyBorder="1" applyAlignment="1" applyProtection="1">
      <alignment vertical="top" wrapText="1"/>
      <protection locked="0"/>
    </xf>
    <xf numFmtId="0" fontId="4" fillId="0" borderId="6" xfId="0" applyFont="1" applyBorder="1" applyAlignment="1" applyProtection="1">
      <alignment horizontal="center" vertical="top" wrapText="1"/>
    </xf>
    <xf numFmtId="0" fontId="4" fillId="0" borderId="1"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13" xfId="0" applyFont="1" applyBorder="1" applyAlignment="1" applyProtection="1">
      <alignment horizontal="center" vertical="center"/>
    </xf>
    <xf numFmtId="0" fontId="12" fillId="0" borderId="4" xfId="0" applyFont="1" applyBorder="1" applyAlignment="1" applyProtection="1">
      <alignment vertical="top" wrapText="1"/>
      <protection locked="0"/>
    </xf>
  </cellXfs>
  <cellStyles count="8">
    <cellStyle name="Bueno" xfId="1" builtinId="26"/>
    <cellStyle name="Hipervínculo" xfId="2" builtinId="8"/>
    <cellStyle name="Millares" xfId="4" builtinId="3"/>
    <cellStyle name="Millares 2" xfId="6"/>
    <cellStyle name="Moneda" xfId="7" builtinId="4"/>
    <cellStyle name="Normal" xfId="0" builtinId="0"/>
    <cellStyle name="Normal 2" xfId="5"/>
    <cellStyle name="Porcentaje" xfId="3" builtinId="5"/>
  </cellStyles>
  <dxfs count="14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iagrams/colors1.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DCD48D7A-4B03-4423-8CB5-5C5D79405805}" type="doc">
      <dgm:prSet loTypeId="urn:microsoft.com/office/officeart/2005/8/layout/list1" loCatId="list" qsTypeId="urn:microsoft.com/office/officeart/2005/8/quickstyle/simple1" qsCatId="simple" csTypeId="urn:microsoft.com/office/officeart/2005/8/colors/colorful5" csCatId="colorful" phldr="1"/>
      <dgm:spPr/>
      <dgm:t>
        <a:bodyPr/>
        <a:lstStyle/>
        <a:p>
          <a:endParaRPr lang="es-CO"/>
        </a:p>
      </dgm:t>
    </dgm:pt>
    <dgm:pt modelId="{2CB7F8B1-2637-4408-9185-3A95A2E4D4D4}">
      <dgm:prSet phldrT="[Texto]" custT="1"/>
      <dgm:spPr/>
      <dgm:t>
        <a:bodyPr/>
        <a:lstStyle/>
        <a:p>
          <a:r>
            <a:rPr lang="es-CO" sz="900" b="1"/>
            <a:t>1. FASE DE PREPARACION</a:t>
          </a:r>
        </a:p>
      </dgm:t>
    </dgm:pt>
    <dgm:pt modelId="{64144A9E-10F1-4862-BFC7-09D5896ACB2E}" type="parTrans" cxnId="{DF270C1B-8DAC-4DC2-9C2B-404524166343}">
      <dgm:prSet/>
      <dgm:spPr/>
      <dgm:t>
        <a:bodyPr/>
        <a:lstStyle/>
        <a:p>
          <a:endParaRPr lang="es-CO" sz="2000"/>
        </a:p>
      </dgm:t>
    </dgm:pt>
    <dgm:pt modelId="{1E2C00AA-92AD-4DFD-ADBE-9EE00E1BF72B}" type="sibTrans" cxnId="{DF270C1B-8DAC-4DC2-9C2B-404524166343}">
      <dgm:prSet/>
      <dgm:spPr/>
      <dgm:t>
        <a:bodyPr/>
        <a:lstStyle/>
        <a:p>
          <a:endParaRPr lang="es-CO" sz="2000"/>
        </a:p>
      </dgm:t>
    </dgm:pt>
    <dgm:pt modelId="{8069E184-766F-4E8B-A1E8-51EDBCF8B787}">
      <dgm:prSet phldrT="[Texto]" custT="1"/>
      <dgm:spPr/>
      <dgm:t>
        <a:bodyPr/>
        <a:lstStyle/>
        <a:p>
          <a:r>
            <a:rPr lang="es-CO" sz="900" b="1"/>
            <a:t>2. FASE DE APRESTAMIENTO</a:t>
          </a:r>
        </a:p>
      </dgm:t>
    </dgm:pt>
    <dgm:pt modelId="{F64789F9-D1CE-4AFA-889E-41DC5016CFAB}" type="parTrans" cxnId="{A2827875-87B0-4C3D-9E40-622962BC691D}">
      <dgm:prSet/>
      <dgm:spPr/>
      <dgm:t>
        <a:bodyPr/>
        <a:lstStyle/>
        <a:p>
          <a:endParaRPr lang="es-CO" sz="2000"/>
        </a:p>
      </dgm:t>
    </dgm:pt>
    <dgm:pt modelId="{93F1D987-E557-4E03-8C29-D08B5E8AAD1B}" type="sibTrans" cxnId="{A2827875-87B0-4C3D-9E40-622962BC691D}">
      <dgm:prSet/>
      <dgm:spPr/>
      <dgm:t>
        <a:bodyPr/>
        <a:lstStyle/>
        <a:p>
          <a:endParaRPr lang="es-CO" sz="2000"/>
        </a:p>
      </dgm:t>
    </dgm:pt>
    <dgm:pt modelId="{717ECC8B-6813-4A27-9DC1-A0349E570257}">
      <dgm:prSet phldrT="[Texto]" custT="1"/>
      <dgm:spPr/>
      <dgm:t>
        <a:bodyPr/>
        <a:lstStyle/>
        <a:p>
          <a:r>
            <a:rPr lang="es-CO" sz="900" b="1"/>
            <a:t>3. FASE  LOGISTICA Y OPERATIVA</a:t>
          </a:r>
        </a:p>
      </dgm:t>
    </dgm:pt>
    <dgm:pt modelId="{D945DCAA-29DE-415E-9EC0-2EA9CDBA637F}" type="parTrans" cxnId="{48FD79B7-0A80-4168-B74D-E45585C648D8}">
      <dgm:prSet/>
      <dgm:spPr/>
      <dgm:t>
        <a:bodyPr/>
        <a:lstStyle/>
        <a:p>
          <a:endParaRPr lang="es-CO" sz="2000"/>
        </a:p>
      </dgm:t>
    </dgm:pt>
    <dgm:pt modelId="{60E19195-CF68-47DE-9785-66C048977208}" type="sibTrans" cxnId="{48FD79B7-0A80-4168-B74D-E45585C648D8}">
      <dgm:prSet/>
      <dgm:spPr/>
      <dgm:t>
        <a:bodyPr/>
        <a:lstStyle/>
        <a:p>
          <a:endParaRPr lang="es-CO" sz="2000"/>
        </a:p>
      </dgm:t>
    </dgm:pt>
    <dgm:pt modelId="{D49A736D-D090-4C3F-B7C8-90E12189F4E6}">
      <dgm:prSet custT="1"/>
      <dgm:spPr/>
      <dgm:t>
        <a:bodyPr/>
        <a:lstStyle/>
        <a:p>
          <a:r>
            <a:rPr lang="es-CO" sz="900"/>
            <a:t>Definición de la unidad objeto de ordenación forestal</a:t>
          </a:r>
        </a:p>
      </dgm:t>
    </dgm:pt>
    <dgm:pt modelId="{6CB8211D-3027-42B8-8E1D-7F7CC0C2C2AF}" type="parTrans" cxnId="{6E1DD283-6A02-4C7B-967E-43E4F2241590}">
      <dgm:prSet/>
      <dgm:spPr/>
      <dgm:t>
        <a:bodyPr/>
        <a:lstStyle/>
        <a:p>
          <a:endParaRPr lang="es-CO" sz="2000"/>
        </a:p>
      </dgm:t>
    </dgm:pt>
    <dgm:pt modelId="{085597EB-8A00-4F32-B9FE-6AE8F6AD66DB}" type="sibTrans" cxnId="{6E1DD283-6A02-4C7B-967E-43E4F2241590}">
      <dgm:prSet/>
      <dgm:spPr/>
      <dgm:t>
        <a:bodyPr/>
        <a:lstStyle/>
        <a:p>
          <a:endParaRPr lang="es-CO" sz="2000"/>
        </a:p>
      </dgm:t>
    </dgm:pt>
    <dgm:pt modelId="{789B5BC8-288B-4DDA-AB25-039F66BEA3B1}">
      <dgm:prSet custT="1"/>
      <dgm:spPr/>
      <dgm:t>
        <a:bodyPr/>
        <a:lstStyle/>
        <a:p>
          <a:r>
            <a:rPr lang="es-CO" sz="900"/>
            <a:t>Asignación de recursos</a:t>
          </a:r>
        </a:p>
      </dgm:t>
    </dgm:pt>
    <dgm:pt modelId="{20DF2F84-B159-462C-A073-B863B19CCFA9}" type="parTrans" cxnId="{A8694B9B-DC05-4BB0-A409-CBB61FB7F639}">
      <dgm:prSet/>
      <dgm:spPr/>
      <dgm:t>
        <a:bodyPr/>
        <a:lstStyle/>
        <a:p>
          <a:endParaRPr lang="es-CO" sz="2000"/>
        </a:p>
      </dgm:t>
    </dgm:pt>
    <dgm:pt modelId="{F75FF99A-F150-48D0-B60B-5CB30D5A0E5A}" type="sibTrans" cxnId="{A8694B9B-DC05-4BB0-A409-CBB61FB7F639}">
      <dgm:prSet/>
      <dgm:spPr/>
      <dgm:t>
        <a:bodyPr/>
        <a:lstStyle/>
        <a:p>
          <a:endParaRPr lang="es-CO" sz="2000"/>
        </a:p>
      </dgm:t>
    </dgm:pt>
    <dgm:pt modelId="{98B28FD7-1DA8-4B1D-A743-BD64C0AAE85A}">
      <dgm:prSet custT="1"/>
      <dgm:spPr/>
      <dgm:t>
        <a:bodyPr/>
        <a:lstStyle/>
        <a:p>
          <a:r>
            <a:rPr lang="es-CO" sz="900"/>
            <a:t>Inicio del proceso pre y contractual</a:t>
          </a:r>
        </a:p>
      </dgm:t>
    </dgm:pt>
    <dgm:pt modelId="{6A5ADD14-5B36-4C8F-9B65-6460DDCE482E}" type="parTrans" cxnId="{C57E6554-2260-4CA8-9E7D-8591D135E53F}">
      <dgm:prSet/>
      <dgm:spPr/>
      <dgm:t>
        <a:bodyPr/>
        <a:lstStyle/>
        <a:p>
          <a:endParaRPr lang="es-CO" sz="2000"/>
        </a:p>
      </dgm:t>
    </dgm:pt>
    <dgm:pt modelId="{55643889-0069-4635-8EFF-361433B6492D}" type="sibTrans" cxnId="{C57E6554-2260-4CA8-9E7D-8591D135E53F}">
      <dgm:prSet/>
      <dgm:spPr/>
      <dgm:t>
        <a:bodyPr/>
        <a:lstStyle/>
        <a:p>
          <a:endParaRPr lang="es-CO" sz="2000"/>
        </a:p>
      </dgm:t>
    </dgm:pt>
    <dgm:pt modelId="{4E33CAE3-BFA7-460A-ADA1-9740AF500CD1}">
      <dgm:prSet custT="1"/>
      <dgm:spPr/>
      <dgm:t>
        <a:bodyPr/>
        <a:lstStyle/>
        <a:p>
          <a:r>
            <a:rPr lang="es-CO" sz="900"/>
            <a:t>Consulta, validación y digitalización de información secundaria</a:t>
          </a:r>
        </a:p>
      </dgm:t>
    </dgm:pt>
    <dgm:pt modelId="{9DB4B8DC-C792-4F88-B9F0-3F8C466B68ED}" type="parTrans" cxnId="{3BF7423E-3DB0-4A87-A18C-2FC41867B2B4}">
      <dgm:prSet/>
      <dgm:spPr/>
      <dgm:t>
        <a:bodyPr/>
        <a:lstStyle/>
        <a:p>
          <a:endParaRPr lang="es-CO" sz="2000"/>
        </a:p>
      </dgm:t>
    </dgm:pt>
    <dgm:pt modelId="{4C4701A6-649F-4B75-8728-83D55A5A5663}" type="sibTrans" cxnId="{3BF7423E-3DB0-4A87-A18C-2FC41867B2B4}">
      <dgm:prSet/>
      <dgm:spPr/>
      <dgm:t>
        <a:bodyPr/>
        <a:lstStyle/>
        <a:p>
          <a:endParaRPr lang="es-CO" sz="2000"/>
        </a:p>
      </dgm:t>
    </dgm:pt>
    <dgm:pt modelId="{08ED7DEB-8B98-40A9-9699-ACCFB829DBE2}">
      <dgm:prSet custT="1"/>
      <dgm:spPr/>
      <dgm:t>
        <a:bodyPr/>
        <a:lstStyle/>
        <a:p>
          <a:r>
            <a:rPr lang="es-CO" sz="900"/>
            <a:t>Procesamiento e interpretación de imágenes satelitales</a:t>
          </a:r>
        </a:p>
      </dgm:t>
    </dgm:pt>
    <dgm:pt modelId="{C96799B1-BF4C-4F01-9A1B-8BF2A3D32A1B}" type="parTrans" cxnId="{9A2394D6-DEA8-457C-A7F6-0CA60D78D7EA}">
      <dgm:prSet/>
      <dgm:spPr/>
      <dgm:t>
        <a:bodyPr/>
        <a:lstStyle/>
        <a:p>
          <a:endParaRPr lang="es-CO" sz="2000"/>
        </a:p>
      </dgm:t>
    </dgm:pt>
    <dgm:pt modelId="{BC1C2EC9-649F-493C-B095-2F14FEE273F0}" type="sibTrans" cxnId="{9A2394D6-DEA8-457C-A7F6-0CA60D78D7EA}">
      <dgm:prSet/>
      <dgm:spPr/>
      <dgm:t>
        <a:bodyPr/>
        <a:lstStyle/>
        <a:p>
          <a:endParaRPr lang="es-CO" sz="2000"/>
        </a:p>
      </dgm:t>
    </dgm:pt>
    <dgm:pt modelId="{C8F6D009-A118-4555-A677-CBA61BF6F0D5}">
      <dgm:prSet custT="1"/>
      <dgm:spPr/>
      <dgm:t>
        <a:bodyPr/>
        <a:lstStyle/>
        <a:p>
          <a:r>
            <a:rPr lang="es-CO" sz="900"/>
            <a:t>Generación de información cartográfica preliminar</a:t>
          </a:r>
        </a:p>
      </dgm:t>
    </dgm:pt>
    <dgm:pt modelId="{C71E5930-069B-45A4-B7EB-02FF81630C0E}" type="parTrans" cxnId="{47FA276C-8AB9-4C50-93CB-3C240B93E4C4}">
      <dgm:prSet/>
      <dgm:spPr/>
      <dgm:t>
        <a:bodyPr/>
        <a:lstStyle/>
        <a:p>
          <a:endParaRPr lang="es-CO" sz="2000"/>
        </a:p>
      </dgm:t>
    </dgm:pt>
    <dgm:pt modelId="{EC10895F-10B2-42FD-BCC8-4993E1130164}" type="sibTrans" cxnId="{47FA276C-8AB9-4C50-93CB-3C240B93E4C4}">
      <dgm:prSet/>
      <dgm:spPr/>
      <dgm:t>
        <a:bodyPr/>
        <a:lstStyle/>
        <a:p>
          <a:endParaRPr lang="es-CO" sz="2000"/>
        </a:p>
      </dgm:t>
    </dgm:pt>
    <dgm:pt modelId="{FFA71FF0-2ACD-4163-B043-1EB367B6C2B1}">
      <dgm:prSet custT="1"/>
      <dgm:spPr/>
      <dgm:t>
        <a:bodyPr/>
        <a:lstStyle/>
        <a:p>
          <a:r>
            <a:rPr lang="es-CO" sz="900"/>
            <a:t>Definición de metodología para levantamiento de información primaria</a:t>
          </a:r>
        </a:p>
      </dgm:t>
    </dgm:pt>
    <dgm:pt modelId="{201802FC-6167-42F1-933E-394845600453}" type="parTrans" cxnId="{478F5893-B289-4B36-A04A-A02DEA40ACC3}">
      <dgm:prSet/>
      <dgm:spPr/>
      <dgm:t>
        <a:bodyPr/>
        <a:lstStyle/>
        <a:p>
          <a:endParaRPr lang="es-CO" sz="2000"/>
        </a:p>
      </dgm:t>
    </dgm:pt>
    <dgm:pt modelId="{B39A6FB6-B160-47AD-A274-EF0DD243C32D}" type="sibTrans" cxnId="{478F5893-B289-4B36-A04A-A02DEA40ACC3}">
      <dgm:prSet/>
      <dgm:spPr/>
      <dgm:t>
        <a:bodyPr/>
        <a:lstStyle/>
        <a:p>
          <a:endParaRPr lang="es-CO" sz="2000"/>
        </a:p>
      </dgm:t>
    </dgm:pt>
    <dgm:pt modelId="{90932CD4-98AF-4D20-B3A5-3F4217DAB33C}">
      <dgm:prSet custT="1"/>
      <dgm:spPr/>
      <dgm:t>
        <a:bodyPr/>
        <a:lstStyle/>
        <a:p>
          <a:r>
            <a:rPr lang="es-CO" sz="900"/>
            <a:t>Socialización y acuerdos con actores regionales y locales</a:t>
          </a:r>
        </a:p>
      </dgm:t>
    </dgm:pt>
    <dgm:pt modelId="{D4A14047-4231-4EAE-82B4-884A078437F6}" type="parTrans" cxnId="{86FF9304-A88E-4E74-AECB-FD793CD64EBE}">
      <dgm:prSet/>
      <dgm:spPr/>
      <dgm:t>
        <a:bodyPr/>
        <a:lstStyle/>
        <a:p>
          <a:endParaRPr lang="es-CO" sz="2000"/>
        </a:p>
      </dgm:t>
    </dgm:pt>
    <dgm:pt modelId="{678DBBEA-15F8-4CEC-BE62-3B0B23BED2F8}" type="sibTrans" cxnId="{86FF9304-A88E-4E74-AECB-FD793CD64EBE}">
      <dgm:prSet/>
      <dgm:spPr/>
      <dgm:t>
        <a:bodyPr/>
        <a:lstStyle/>
        <a:p>
          <a:endParaRPr lang="es-CO" sz="2000"/>
        </a:p>
      </dgm:t>
    </dgm:pt>
    <dgm:pt modelId="{D67F9A5A-5E88-44A1-939C-135CE3AF4041}">
      <dgm:prSet phldrT="[Texto]" custT="1"/>
      <dgm:spPr/>
      <dgm:t>
        <a:bodyPr/>
        <a:lstStyle/>
        <a:p>
          <a:r>
            <a:rPr lang="es-CO" sz="900" b="1"/>
            <a:t>4. FASE DE OFICINA</a:t>
          </a:r>
        </a:p>
      </dgm:t>
    </dgm:pt>
    <dgm:pt modelId="{147BBB2B-EBFD-43A6-B289-2DA32B306280}" type="parTrans" cxnId="{E56EA914-32FC-4F01-AE21-F02AF3BAD451}">
      <dgm:prSet/>
      <dgm:spPr/>
      <dgm:t>
        <a:bodyPr/>
        <a:lstStyle/>
        <a:p>
          <a:endParaRPr lang="es-CO" sz="2000"/>
        </a:p>
      </dgm:t>
    </dgm:pt>
    <dgm:pt modelId="{5865B6AA-9A9D-46ED-B85D-61C566F91B2B}" type="sibTrans" cxnId="{E56EA914-32FC-4F01-AE21-F02AF3BAD451}">
      <dgm:prSet/>
      <dgm:spPr/>
      <dgm:t>
        <a:bodyPr/>
        <a:lstStyle/>
        <a:p>
          <a:endParaRPr lang="es-CO" sz="2000"/>
        </a:p>
      </dgm:t>
    </dgm:pt>
    <dgm:pt modelId="{CF379588-8D99-446E-9DA3-7D31B1AC5467}">
      <dgm:prSet custT="1"/>
      <dgm:spPr/>
      <dgm:t>
        <a:bodyPr/>
        <a:lstStyle/>
        <a:p>
          <a:r>
            <a:rPr lang="es-CO" sz="900"/>
            <a:t>Procesamiento y análisis de información primaria</a:t>
          </a:r>
        </a:p>
      </dgm:t>
    </dgm:pt>
    <dgm:pt modelId="{C53496FF-16AA-4B86-9A97-C210D3425615}" type="parTrans" cxnId="{64B9461D-EAC6-4AD6-8946-7E802054283C}">
      <dgm:prSet/>
      <dgm:spPr/>
      <dgm:t>
        <a:bodyPr/>
        <a:lstStyle/>
        <a:p>
          <a:endParaRPr lang="es-CO" sz="2000"/>
        </a:p>
      </dgm:t>
    </dgm:pt>
    <dgm:pt modelId="{FA04A515-77A5-47E1-9A21-427002F75BBD}" type="sibTrans" cxnId="{64B9461D-EAC6-4AD6-8946-7E802054283C}">
      <dgm:prSet/>
      <dgm:spPr/>
      <dgm:t>
        <a:bodyPr/>
        <a:lstStyle/>
        <a:p>
          <a:endParaRPr lang="es-CO" sz="2000"/>
        </a:p>
      </dgm:t>
    </dgm:pt>
    <dgm:pt modelId="{F2356AF9-BEEF-4B44-8D11-6960D17AF916}">
      <dgm:prSet custT="1"/>
      <dgm:spPr/>
      <dgm:t>
        <a:bodyPr/>
        <a:lstStyle/>
        <a:p>
          <a:r>
            <a:rPr lang="es-CO" sz="900"/>
            <a:t>Propuesta zonificación inicial de la UOF</a:t>
          </a:r>
        </a:p>
      </dgm:t>
    </dgm:pt>
    <dgm:pt modelId="{30965C44-C041-42DC-BEED-B4376C8E6B72}" type="parTrans" cxnId="{952D29FA-01DB-4FF4-B950-87A63CC80292}">
      <dgm:prSet/>
      <dgm:spPr/>
      <dgm:t>
        <a:bodyPr/>
        <a:lstStyle/>
        <a:p>
          <a:endParaRPr lang="es-CO" sz="2000"/>
        </a:p>
      </dgm:t>
    </dgm:pt>
    <dgm:pt modelId="{B601354C-9FC2-4283-877B-28B5BED5CBBC}" type="sibTrans" cxnId="{952D29FA-01DB-4FF4-B950-87A63CC80292}">
      <dgm:prSet/>
      <dgm:spPr/>
      <dgm:t>
        <a:bodyPr/>
        <a:lstStyle/>
        <a:p>
          <a:endParaRPr lang="es-CO" sz="2000"/>
        </a:p>
      </dgm:t>
    </dgm:pt>
    <dgm:pt modelId="{51776FAA-A67F-43C9-93A9-09460B1195D0}">
      <dgm:prSet custT="1"/>
      <dgm:spPr/>
      <dgm:t>
        <a:bodyPr/>
        <a:lstStyle/>
        <a:p>
          <a:r>
            <a:rPr lang="es-CO" sz="900"/>
            <a:t>Propuesta de zonificación de las áreas forestales que componen la UOF</a:t>
          </a:r>
        </a:p>
      </dgm:t>
    </dgm:pt>
    <dgm:pt modelId="{F49DC0A9-8665-4ADA-A379-AC107454A3ED}" type="parTrans" cxnId="{72240C85-9D5C-458C-B319-EA4B04B6FA8A}">
      <dgm:prSet/>
      <dgm:spPr/>
      <dgm:t>
        <a:bodyPr/>
        <a:lstStyle/>
        <a:p>
          <a:endParaRPr lang="es-CO" sz="2000"/>
        </a:p>
      </dgm:t>
    </dgm:pt>
    <dgm:pt modelId="{C8B4DFF5-5087-4292-AE4B-32507D166EBF}" type="sibTrans" cxnId="{72240C85-9D5C-458C-B319-EA4B04B6FA8A}">
      <dgm:prSet/>
      <dgm:spPr/>
      <dgm:t>
        <a:bodyPr/>
        <a:lstStyle/>
        <a:p>
          <a:endParaRPr lang="es-CO" sz="2000"/>
        </a:p>
      </dgm:t>
    </dgm:pt>
    <dgm:pt modelId="{CF4F553E-C1BC-4366-8D1F-2538C739F34D}">
      <dgm:prSet phldrT="[Texto]" custT="1"/>
      <dgm:spPr/>
      <dgm:t>
        <a:bodyPr/>
        <a:lstStyle/>
        <a:p>
          <a:r>
            <a:rPr lang="es-CO" sz="900" b="1"/>
            <a:t>5. FASE DE FORMULACION</a:t>
          </a:r>
        </a:p>
      </dgm:t>
    </dgm:pt>
    <dgm:pt modelId="{87729DE7-2820-4664-B237-4A95FE1E2F12}" type="parTrans" cxnId="{E88658A0-3BDE-454E-A794-8505E55DC105}">
      <dgm:prSet/>
      <dgm:spPr/>
      <dgm:t>
        <a:bodyPr/>
        <a:lstStyle/>
        <a:p>
          <a:endParaRPr lang="es-CO" sz="2000"/>
        </a:p>
      </dgm:t>
    </dgm:pt>
    <dgm:pt modelId="{94558B0E-E006-4B59-8C83-CEE5060F8235}" type="sibTrans" cxnId="{E88658A0-3BDE-454E-A794-8505E55DC105}">
      <dgm:prSet/>
      <dgm:spPr/>
      <dgm:t>
        <a:bodyPr/>
        <a:lstStyle/>
        <a:p>
          <a:endParaRPr lang="es-CO" sz="2000"/>
        </a:p>
      </dgm:t>
    </dgm:pt>
    <dgm:pt modelId="{C14DAE80-C9AD-4DF2-AB00-76A03871C660}">
      <dgm:prSet custT="1"/>
      <dgm:spPr/>
      <dgm:t>
        <a:bodyPr/>
        <a:lstStyle/>
        <a:p>
          <a:r>
            <a:rPr lang="es-CO" sz="900"/>
            <a:t>Socialización versión premiminar de los POF</a:t>
          </a:r>
        </a:p>
      </dgm:t>
    </dgm:pt>
    <dgm:pt modelId="{1B35EC25-3A5D-44C3-8EC6-1F67B5E94F65}" type="parTrans" cxnId="{FAE50C2E-D4BD-46F3-ACBD-9DE02637A7D6}">
      <dgm:prSet/>
      <dgm:spPr/>
      <dgm:t>
        <a:bodyPr/>
        <a:lstStyle/>
        <a:p>
          <a:endParaRPr lang="es-CO" sz="2000"/>
        </a:p>
      </dgm:t>
    </dgm:pt>
    <dgm:pt modelId="{EB3C29DE-5BFD-45F2-B15E-ED5B03F68740}" type="sibTrans" cxnId="{FAE50C2E-D4BD-46F3-ACBD-9DE02637A7D6}">
      <dgm:prSet/>
      <dgm:spPr/>
      <dgm:t>
        <a:bodyPr/>
        <a:lstStyle/>
        <a:p>
          <a:endParaRPr lang="es-CO" sz="2000"/>
        </a:p>
      </dgm:t>
    </dgm:pt>
    <dgm:pt modelId="{0E652C00-4F5E-4225-B0DE-1E16E467F052}">
      <dgm:prSet phldrT="[Texto]" custT="1"/>
      <dgm:spPr/>
      <dgm:t>
        <a:bodyPr/>
        <a:lstStyle/>
        <a:p>
          <a:r>
            <a:rPr lang="es-CO" sz="900" b="1"/>
            <a:t>6. FASE DE IMPLEMENTACION</a:t>
          </a:r>
        </a:p>
      </dgm:t>
    </dgm:pt>
    <dgm:pt modelId="{6B4BA892-C7B2-40DA-97EE-3611027033ED}" type="parTrans" cxnId="{ABA36423-4ADF-4BC2-B9D4-4551354C1F10}">
      <dgm:prSet/>
      <dgm:spPr/>
      <dgm:t>
        <a:bodyPr/>
        <a:lstStyle/>
        <a:p>
          <a:endParaRPr lang="es-CO" sz="2000"/>
        </a:p>
      </dgm:t>
    </dgm:pt>
    <dgm:pt modelId="{49049186-C28C-4B3F-A75E-A3310F719D8A}" type="sibTrans" cxnId="{ABA36423-4ADF-4BC2-B9D4-4551354C1F10}">
      <dgm:prSet/>
      <dgm:spPr/>
      <dgm:t>
        <a:bodyPr/>
        <a:lstStyle/>
        <a:p>
          <a:endParaRPr lang="es-CO" sz="2000"/>
        </a:p>
      </dgm:t>
    </dgm:pt>
    <dgm:pt modelId="{FDC96EDD-2D2E-424F-9793-6C67FBB810DD}">
      <dgm:prSet custT="1"/>
      <dgm:spPr/>
      <dgm:t>
        <a:bodyPr/>
        <a:lstStyle/>
        <a:p>
          <a:r>
            <a:rPr lang="es-CO" sz="900"/>
            <a:t>Aprobación de los POF por Consejo Directivo de la autoridad ambiental competente</a:t>
          </a:r>
        </a:p>
      </dgm:t>
    </dgm:pt>
    <dgm:pt modelId="{C0F088F2-D816-422B-A598-8465D4C16265}" type="parTrans" cxnId="{A43DF155-EDED-4348-8849-3FB54F8752F4}">
      <dgm:prSet/>
      <dgm:spPr/>
      <dgm:t>
        <a:bodyPr/>
        <a:lstStyle/>
        <a:p>
          <a:endParaRPr lang="es-CO" sz="2000"/>
        </a:p>
      </dgm:t>
    </dgm:pt>
    <dgm:pt modelId="{D85BC74A-2C14-4596-B306-9B50E9FDF986}" type="sibTrans" cxnId="{A43DF155-EDED-4348-8849-3FB54F8752F4}">
      <dgm:prSet/>
      <dgm:spPr/>
      <dgm:t>
        <a:bodyPr/>
        <a:lstStyle/>
        <a:p>
          <a:endParaRPr lang="es-CO" sz="2000"/>
        </a:p>
      </dgm:t>
    </dgm:pt>
    <dgm:pt modelId="{6632AE42-4A3F-47A4-991F-05B67D9E15A4}">
      <dgm:prSet custT="1"/>
      <dgm:spPr/>
      <dgm:t>
        <a:bodyPr/>
        <a:lstStyle/>
        <a:p>
          <a:r>
            <a:rPr lang="es-CO" sz="900"/>
            <a:t>Incorporación de los POF en el POA de la autoridad ambiental competente</a:t>
          </a:r>
        </a:p>
      </dgm:t>
    </dgm:pt>
    <dgm:pt modelId="{EA24CD28-DA30-489E-812A-8D006AD804E2}" type="parTrans" cxnId="{66F80349-2184-4386-B9D3-B0DFF876CB84}">
      <dgm:prSet/>
      <dgm:spPr/>
      <dgm:t>
        <a:bodyPr/>
        <a:lstStyle/>
        <a:p>
          <a:endParaRPr lang="es-CO" sz="2000"/>
        </a:p>
      </dgm:t>
    </dgm:pt>
    <dgm:pt modelId="{413A0DEC-0431-4D0A-9CF6-9F28DD448962}" type="sibTrans" cxnId="{66F80349-2184-4386-B9D3-B0DFF876CB84}">
      <dgm:prSet/>
      <dgm:spPr/>
      <dgm:t>
        <a:bodyPr/>
        <a:lstStyle/>
        <a:p>
          <a:endParaRPr lang="es-CO" sz="2000"/>
        </a:p>
      </dgm:t>
    </dgm:pt>
    <dgm:pt modelId="{E9D3C62B-362B-44C9-A42A-154B9DBAE91C}">
      <dgm:prSet custT="1"/>
      <dgm:spPr/>
      <dgm:t>
        <a:bodyPr/>
        <a:lstStyle/>
        <a:p>
          <a:r>
            <a:rPr lang="es-CO" sz="900"/>
            <a:t>Desarrollo de planes, programas y proyectos de cada POF </a:t>
          </a:r>
        </a:p>
      </dgm:t>
    </dgm:pt>
    <dgm:pt modelId="{C9AEF7BE-B561-478B-BAC4-CA5215113050}" type="parTrans" cxnId="{62C6A6A5-51AF-43F3-B103-5345821FAFEE}">
      <dgm:prSet/>
      <dgm:spPr/>
      <dgm:t>
        <a:bodyPr/>
        <a:lstStyle/>
        <a:p>
          <a:endParaRPr lang="es-CO" sz="2000"/>
        </a:p>
      </dgm:t>
    </dgm:pt>
    <dgm:pt modelId="{FFF495EB-AA84-4FB0-A607-B67EEC28EFF6}" type="sibTrans" cxnId="{62C6A6A5-51AF-43F3-B103-5345821FAFEE}">
      <dgm:prSet/>
      <dgm:spPr/>
      <dgm:t>
        <a:bodyPr/>
        <a:lstStyle/>
        <a:p>
          <a:endParaRPr lang="es-CO" sz="2000"/>
        </a:p>
      </dgm:t>
    </dgm:pt>
    <dgm:pt modelId="{38D6ECF3-9DC0-4FA5-AA85-AE678086D86F}">
      <dgm:prSet phldrT="[Texto]" custT="1"/>
      <dgm:spPr/>
      <dgm:t>
        <a:bodyPr/>
        <a:lstStyle/>
        <a:p>
          <a:r>
            <a:rPr lang="es-CO" sz="900" b="1"/>
            <a:t>7. FASE DE SEGUIMIENTO Y ACTUALIZACION</a:t>
          </a:r>
        </a:p>
      </dgm:t>
    </dgm:pt>
    <dgm:pt modelId="{CA07B11D-A281-4474-956D-CE017D55096D}" type="parTrans" cxnId="{228A001C-DFEF-4BA8-8945-6B052FD3DB06}">
      <dgm:prSet/>
      <dgm:spPr/>
      <dgm:t>
        <a:bodyPr/>
        <a:lstStyle/>
        <a:p>
          <a:endParaRPr lang="es-CO" sz="2000"/>
        </a:p>
      </dgm:t>
    </dgm:pt>
    <dgm:pt modelId="{23F1DCF5-3AF5-46F5-8EBA-1B227FFDA68A}" type="sibTrans" cxnId="{228A001C-DFEF-4BA8-8945-6B052FD3DB06}">
      <dgm:prSet/>
      <dgm:spPr/>
      <dgm:t>
        <a:bodyPr/>
        <a:lstStyle/>
        <a:p>
          <a:endParaRPr lang="es-CO" sz="2000"/>
        </a:p>
      </dgm:t>
    </dgm:pt>
    <dgm:pt modelId="{7AD3D970-693A-46CB-93F2-8719BB4A2138}">
      <dgm:prSet custT="1"/>
      <dgm:spPr/>
      <dgm:t>
        <a:bodyPr/>
        <a:lstStyle/>
        <a:p>
          <a:r>
            <a:rPr lang="es-CO" sz="900"/>
            <a:t>Seguimiento a los POF</a:t>
          </a:r>
        </a:p>
      </dgm:t>
    </dgm:pt>
    <dgm:pt modelId="{76659B4B-2119-4F3E-A632-F083A9E2AF61}" type="parTrans" cxnId="{84B27017-A550-4955-B34A-A6F39E2DEC14}">
      <dgm:prSet/>
      <dgm:spPr/>
      <dgm:t>
        <a:bodyPr/>
        <a:lstStyle/>
        <a:p>
          <a:endParaRPr lang="es-CO" sz="2000"/>
        </a:p>
      </dgm:t>
    </dgm:pt>
    <dgm:pt modelId="{004D6EF7-97F6-4EB3-9B3E-229E15C08DFD}" type="sibTrans" cxnId="{84B27017-A550-4955-B34A-A6F39E2DEC14}">
      <dgm:prSet/>
      <dgm:spPr/>
      <dgm:t>
        <a:bodyPr/>
        <a:lstStyle/>
        <a:p>
          <a:endParaRPr lang="es-CO" sz="2000"/>
        </a:p>
      </dgm:t>
    </dgm:pt>
    <dgm:pt modelId="{92E8A65F-F99F-488E-AF0A-565C72278797}">
      <dgm:prSet custT="1"/>
      <dgm:spPr/>
      <dgm:t>
        <a:bodyPr/>
        <a:lstStyle/>
        <a:p>
          <a:r>
            <a:rPr lang="es-CO" sz="900"/>
            <a:t>Revisión y evaluación de los POF</a:t>
          </a:r>
        </a:p>
      </dgm:t>
    </dgm:pt>
    <dgm:pt modelId="{66E38FC8-C18A-470F-A205-AE2365A9DE78}" type="parTrans" cxnId="{3F409E34-BFAE-45FE-A027-0ABAC99B8A84}">
      <dgm:prSet/>
      <dgm:spPr/>
      <dgm:t>
        <a:bodyPr/>
        <a:lstStyle/>
        <a:p>
          <a:endParaRPr lang="es-CO" sz="2000"/>
        </a:p>
      </dgm:t>
    </dgm:pt>
    <dgm:pt modelId="{B79C7341-D380-4E6F-A6A3-3F12A56CC081}" type="sibTrans" cxnId="{3F409E34-BFAE-45FE-A027-0ABAC99B8A84}">
      <dgm:prSet/>
      <dgm:spPr/>
      <dgm:t>
        <a:bodyPr/>
        <a:lstStyle/>
        <a:p>
          <a:endParaRPr lang="es-CO" sz="2000"/>
        </a:p>
      </dgm:t>
    </dgm:pt>
    <dgm:pt modelId="{260FD557-A6C6-4FE3-8993-4A56E5810063}">
      <dgm:prSet custT="1"/>
      <dgm:spPr/>
      <dgm:t>
        <a:bodyPr/>
        <a:lstStyle/>
        <a:p>
          <a:r>
            <a:rPr lang="es-CO" sz="900"/>
            <a:t>Conformación del equipo de trabajo  </a:t>
          </a:r>
        </a:p>
      </dgm:t>
    </dgm:pt>
    <dgm:pt modelId="{99DC8CBA-2F58-4241-815F-B0348FB0A095}" type="parTrans" cxnId="{AE5988E1-7C16-4B0A-ABF6-7C82ABA26687}">
      <dgm:prSet/>
      <dgm:spPr/>
      <dgm:t>
        <a:bodyPr/>
        <a:lstStyle/>
        <a:p>
          <a:endParaRPr lang="es-CO"/>
        </a:p>
      </dgm:t>
    </dgm:pt>
    <dgm:pt modelId="{F96C925A-00E1-4DCD-9FAA-8558FB848EF6}" type="sibTrans" cxnId="{AE5988E1-7C16-4B0A-ABF6-7C82ABA26687}">
      <dgm:prSet/>
      <dgm:spPr/>
      <dgm:t>
        <a:bodyPr/>
        <a:lstStyle/>
        <a:p>
          <a:endParaRPr lang="es-CO"/>
        </a:p>
      </dgm:t>
    </dgm:pt>
    <dgm:pt modelId="{4A7800C9-7D3D-4FD3-A0C8-055EA574631C}">
      <dgm:prSet custT="1"/>
      <dgm:spPr/>
      <dgm:t>
        <a:bodyPr/>
        <a:lstStyle/>
        <a:p>
          <a:r>
            <a:rPr lang="es-CO" sz="900"/>
            <a:t>Chequeo cartografía en campo</a:t>
          </a:r>
        </a:p>
      </dgm:t>
    </dgm:pt>
    <dgm:pt modelId="{E88C88D6-C647-44AC-8F34-1CDDF9D56EAE}" type="parTrans" cxnId="{AF2C1DF1-0917-4A12-AD82-87034F4AA6BD}">
      <dgm:prSet/>
      <dgm:spPr/>
      <dgm:t>
        <a:bodyPr/>
        <a:lstStyle/>
        <a:p>
          <a:endParaRPr lang="es-CO"/>
        </a:p>
      </dgm:t>
    </dgm:pt>
    <dgm:pt modelId="{011E79F5-D3D2-430D-AB83-E364AA563D3C}" type="sibTrans" cxnId="{AF2C1DF1-0917-4A12-AD82-87034F4AA6BD}">
      <dgm:prSet/>
      <dgm:spPr/>
      <dgm:t>
        <a:bodyPr/>
        <a:lstStyle/>
        <a:p>
          <a:endParaRPr lang="es-CO"/>
        </a:p>
      </dgm:t>
    </dgm:pt>
    <dgm:pt modelId="{320F87EC-CED1-4210-8A86-B8F3B4014BD7}">
      <dgm:prSet custT="1"/>
      <dgm:spPr/>
      <dgm:t>
        <a:bodyPr/>
        <a:lstStyle/>
        <a:p>
          <a:r>
            <a:rPr lang="es-CO" sz="900"/>
            <a:t>Desarrollo del premuestreo, ajuste y realización del inventario forestal</a:t>
          </a:r>
        </a:p>
      </dgm:t>
    </dgm:pt>
    <dgm:pt modelId="{3E66B59C-1F4A-4068-B805-1D0FD9DF5EB9}" type="parTrans" cxnId="{B2CEC7D1-0EF3-43E8-A8C4-CA91F9F8B2C6}">
      <dgm:prSet/>
      <dgm:spPr/>
      <dgm:t>
        <a:bodyPr/>
        <a:lstStyle/>
        <a:p>
          <a:endParaRPr lang="es-CO"/>
        </a:p>
      </dgm:t>
    </dgm:pt>
    <dgm:pt modelId="{9C227A2C-DB8C-4F82-9033-31A1665D63A3}" type="sibTrans" cxnId="{B2CEC7D1-0EF3-43E8-A8C4-CA91F9F8B2C6}">
      <dgm:prSet/>
      <dgm:spPr/>
      <dgm:t>
        <a:bodyPr/>
        <a:lstStyle/>
        <a:p>
          <a:endParaRPr lang="es-CO"/>
        </a:p>
      </dgm:t>
    </dgm:pt>
    <dgm:pt modelId="{34106E7C-5D09-4727-92DE-E55E74AC51EE}">
      <dgm:prSet custT="1"/>
      <dgm:spPr/>
      <dgm:t>
        <a:bodyPr/>
        <a:lstStyle/>
        <a:p>
          <a:r>
            <a:rPr lang="es-CO" sz="900"/>
            <a:t>Desarrollo del componente socieconomico</a:t>
          </a:r>
        </a:p>
      </dgm:t>
    </dgm:pt>
    <dgm:pt modelId="{9975E2E8-9436-4F43-A130-25EADB8F15E6}" type="parTrans" cxnId="{6C6EB5FC-FF88-485A-AB17-1DEBD14B1B4D}">
      <dgm:prSet/>
      <dgm:spPr/>
      <dgm:t>
        <a:bodyPr/>
        <a:lstStyle/>
        <a:p>
          <a:endParaRPr lang="es-CO"/>
        </a:p>
      </dgm:t>
    </dgm:pt>
    <dgm:pt modelId="{55FD3231-A594-44A3-9758-E80BFF642EBF}" type="sibTrans" cxnId="{6C6EB5FC-FF88-485A-AB17-1DEBD14B1B4D}">
      <dgm:prSet/>
      <dgm:spPr/>
      <dgm:t>
        <a:bodyPr/>
        <a:lstStyle/>
        <a:p>
          <a:endParaRPr lang="es-CO"/>
        </a:p>
      </dgm:t>
    </dgm:pt>
    <dgm:pt modelId="{275C1FC4-3E17-4EB7-B629-3B18A2C22A68}">
      <dgm:prSet custT="1"/>
      <dgm:spPr/>
      <dgm:t>
        <a:bodyPr/>
        <a:lstStyle/>
        <a:p>
          <a:r>
            <a:rPr lang="es-CO" sz="900"/>
            <a:t>Desarrollo del componente suelos</a:t>
          </a:r>
        </a:p>
      </dgm:t>
    </dgm:pt>
    <dgm:pt modelId="{47FF5181-689E-402C-BA5E-A7F036D82964}" type="parTrans" cxnId="{387F9B62-BA72-46DA-93B7-D805807BFC03}">
      <dgm:prSet/>
      <dgm:spPr/>
      <dgm:t>
        <a:bodyPr/>
        <a:lstStyle/>
        <a:p>
          <a:endParaRPr lang="es-CO"/>
        </a:p>
      </dgm:t>
    </dgm:pt>
    <dgm:pt modelId="{BD9B50B6-A249-4B4C-A504-6B8A26A3E4B7}" type="sibTrans" cxnId="{387F9B62-BA72-46DA-93B7-D805807BFC03}">
      <dgm:prSet/>
      <dgm:spPr/>
      <dgm:t>
        <a:bodyPr/>
        <a:lstStyle/>
        <a:p>
          <a:endParaRPr lang="es-CO"/>
        </a:p>
      </dgm:t>
    </dgm:pt>
    <dgm:pt modelId="{0C7E1392-1B2E-4473-98A3-7DB95B0F3E41}">
      <dgm:prSet custT="1"/>
      <dgm:spPr/>
      <dgm:t>
        <a:bodyPr/>
        <a:lstStyle/>
        <a:p>
          <a:r>
            <a:rPr lang="es-CO" sz="900"/>
            <a:t>Desarrollo del componente fauna</a:t>
          </a:r>
        </a:p>
      </dgm:t>
    </dgm:pt>
    <dgm:pt modelId="{1BB85BBF-AE3C-4053-94E1-A07AA9D27118}" type="parTrans" cxnId="{21FF54B0-7061-409D-AA77-9C011DC7E50B}">
      <dgm:prSet/>
      <dgm:spPr/>
      <dgm:t>
        <a:bodyPr/>
        <a:lstStyle/>
        <a:p>
          <a:endParaRPr lang="es-CO"/>
        </a:p>
      </dgm:t>
    </dgm:pt>
    <dgm:pt modelId="{170804D9-020B-4492-BDDC-2864E2B9B088}" type="sibTrans" cxnId="{21FF54B0-7061-409D-AA77-9C011DC7E50B}">
      <dgm:prSet/>
      <dgm:spPr/>
      <dgm:t>
        <a:bodyPr/>
        <a:lstStyle/>
        <a:p>
          <a:endParaRPr lang="es-CO"/>
        </a:p>
      </dgm:t>
    </dgm:pt>
    <dgm:pt modelId="{FB36F50F-332B-41E1-B818-61C37228C5CE}">
      <dgm:prSet custT="1"/>
      <dgm:spPr/>
      <dgm:t>
        <a:bodyPr/>
        <a:lstStyle/>
        <a:p>
          <a:r>
            <a:rPr lang="es-CO" sz="900"/>
            <a:t>Armonización de los POF con actores locales y regionales</a:t>
          </a:r>
        </a:p>
      </dgm:t>
    </dgm:pt>
    <dgm:pt modelId="{1B402964-486C-4D88-B25B-BFBD3B7CB725}" type="parTrans" cxnId="{44A4FD8C-B715-4763-9E06-4EBC7F129D51}">
      <dgm:prSet/>
      <dgm:spPr/>
      <dgm:t>
        <a:bodyPr/>
        <a:lstStyle/>
        <a:p>
          <a:endParaRPr lang="es-CO"/>
        </a:p>
      </dgm:t>
    </dgm:pt>
    <dgm:pt modelId="{2F60FF59-EE81-4035-BCD0-A1A526D6233D}" type="sibTrans" cxnId="{44A4FD8C-B715-4763-9E06-4EBC7F129D51}">
      <dgm:prSet/>
      <dgm:spPr/>
      <dgm:t>
        <a:bodyPr/>
        <a:lstStyle/>
        <a:p>
          <a:endParaRPr lang="es-CO"/>
        </a:p>
      </dgm:t>
    </dgm:pt>
    <dgm:pt modelId="{2DDC3C6B-EB89-41BC-9626-2C8602AFD180}">
      <dgm:prSet custT="1"/>
      <dgm:spPr/>
      <dgm:t>
        <a:bodyPr/>
        <a:lstStyle/>
        <a:p>
          <a:r>
            <a:rPr lang="es-CO" sz="900"/>
            <a:t>Edición y ajustes de los POF</a:t>
          </a:r>
        </a:p>
      </dgm:t>
    </dgm:pt>
    <dgm:pt modelId="{8CA01F60-749A-4F13-A5F9-52959A1E5ACD}" type="parTrans" cxnId="{CBF95272-9C66-408A-9CF3-C7F12DD60BBE}">
      <dgm:prSet/>
      <dgm:spPr/>
      <dgm:t>
        <a:bodyPr/>
        <a:lstStyle/>
        <a:p>
          <a:endParaRPr lang="es-CO"/>
        </a:p>
      </dgm:t>
    </dgm:pt>
    <dgm:pt modelId="{4EF9A5D6-D9ED-4637-A11E-A0AF0603FCE7}" type="sibTrans" cxnId="{CBF95272-9C66-408A-9CF3-C7F12DD60BBE}">
      <dgm:prSet/>
      <dgm:spPr/>
      <dgm:t>
        <a:bodyPr/>
        <a:lstStyle/>
        <a:p>
          <a:endParaRPr lang="es-CO"/>
        </a:p>
      </dgm:t>
    </dgm:pt>
    <dgm:pt modelId="{29647C36-AD56-480A-B274-AFD85B8257AC}">
      <dgm:prSet custT="1"/>
      <dgm:spPr/>
      <dgm:t>
        <a:bodyPr/>
        <a:lstStyle/>
        <a:p>
          <a:r>
            <a:rPr lang="es-CO" sz="900"/>
            <a:t>Actualización de los POF  </a:t>
          </a:r>
        </a:p>
      </dgm:t>
    </dgm:pt>
    <dgm:pt modelId="{8B89DDF0-7CED-46E8-8F61-0B17466698FF}" type="sibTrans" cxnId="{F617155A-07A4-40C6-B9E5-6E820D5C2875}">
      <dgm:prSet/>
      <dgm:spPr/>
      <dgm:t>
        <a:bodyPr/>
        <a:lstStyle/>
        <a:p>
          <a:endParaRPr lang="es-CO" sz="2000"/>
        </a:p>
      </dgm:t>
    </dgm:pt>
    <dgm:pt modelId="{4CAE2BE9-B466-4310-88AB-C78BF23B7371}" type="parTrans" cxnId="{F617155A-07A4-40C6-B9E5-6E820D5C2875}">
      <dgm:prSet/>
      <dgm:spPr/>
      <dgm:t>
        <a:bodyPr/>
        <a:lstStyle/>
        <a:p>
          <a:endParaRPr lang="es-CO" sz="2000"/>
        </a:p>
      </dgm:t>
    </dgm:pt>
    <dgm:pt modelId="{477C0414-2F64-47A3-9675-FE2E4F8C4A83}">
      <dgm:prSet custT="1"/>
      <dgm:spPr/>
      <dgm:t>
        <a:bodyPr/>
        <a:lstStyle/>
        <a:p>
          <a:r>
            <a:rPr lang="es-CO" sz="900"/>
            <a:t> Formulación del POF para cada área forestal de la UOF</a:t>
          </a:r>
        </a:p>
      </dgm:t>
    </dgm:pt>
    <dgm:pt modelId="{211F0972-F335-42CF-8898-D6AD2F24BDF4}" type="parTrans" cxnId="{3673614D-FB3D-4D84-B4D5-C1C1FEB93DC6}">
      <dgm:prSet/>
      <dgm:spPr/>
      <dgm:t>
        <a:bodyPr/>
        <a:lstStyle/>
        <a:p>
          <a:endParaRPr lang="es-CO"/>
        </a:p>
      </dgm:t>
    </dgm:pt>
    <dgm:pt modelId="{8249E61B-7B06-45EC-87B1-4624BFB202FC}" type="sibTrans" cxnId="{3673614D-FB3D-4D84-B4D5-C1C1FEB93DC6}">
      <dgm:prSet/>
      <dgm:spPr/>
      <dgm:t>
        <a:bodyPr/>
        <a:lstStyle/>
        <a:p>
          <a:endParaRPr lang="es-CO"/>
        </a:p>
      </dgm:t>
    </dgm:pt>
    <dgm:pt modelId="{1DEF4F99-0D10-4E54-A0BF-F9524F830250}" type="pres">
      <dgm:prSet presAssocID="{DCD48D7A-4B03-4423-8CB5-5C5D79405805}" presName="linear" presStyleCnt="0">
        <dgm:presLayoutVars>
          <dgm:dir/>
          <dgm:animLvl val="lvl"/>
          <dgm:resizeHandles val="exact"/>
        </dgm:presLayoutVars>
      </dgm:prSet>
      <dgm:spPr/>
      <dgm:t>
        <a:bodyPr/>
        <a:lstStyle/>
        <a:p>
          <a:endParaRPr lang="es-ES"/>
        </a:p>
      </dgm:t>
    </dgm:pt>
    <dgm:pt modelId="{2FA5CF8F-DEE2-445C-8A9F-A5B19AA1EC66}" type="pres">
      <dgm:prSet presAssocID="{2CB7F8B1-2637-4408-9185-3A95A2E4D4D4}" presName="parentLin" presStyleCnt="0"/>
      <dgm:spPr/>
    </dgm:pt>
    <dgm:pt modelId="{545F5493-E5D3-45CD-9407-AD3146FF5B66}" type="pres">
      <dgm:prSet presAssocID="{2CB7F8B1-2637-4408-9185-3A95A2E4D4D4}" presName="parentLeftMargin" presStyleLbl="node1" presStyleIdx="0" presStyleCnt="7"/>
      <dgm:spPr/>
      <dgm:t>
        <a:bodyPr/>
        <a:lstStyle/>
        <a:p>
          <a:endParaRPr lang="es-ES"/>
        </a:p>
      </dgm:t>
    </dgm:pt>
    <dgm:pt modelId="{E6E34545-7A70-45F5-AF30-5300FEAF0CB4}" type="pres">
      <dgm:prSet presAssocID="{2CB7F8B1-2637-4408-9185-3A95A2E4D4D4}" presName="parentText" presStyleLbl="node1" presStyleIdx="0" presStyleCnt="7">
        <dgm:presLayoutVars>
          <dgm:chMax val="0"/>
          <dgm:bulletEnabled val="1"/>
        </dgm:presLayoutVars>
      </dgm:prSet>
      <dgm:spPr/>
      <dgm:t>
        <a:bodyPr/>
        <a:lstStyle/>
        <a:p>
          <a:endParaRPr lang="es-ES"/>
        </a:p>
      </dgm:t>
    </dgm:pt>
    <dgm:pt modelId="{EF9B6E2C-EF0B-4D48-9074-55D69A90DE21}" type="pres">
      <dgm:prSet presAssocID="{2CB7F8B1-2637-4408-9185-3A95A2E4D4D4}" presName="negativeSpace" presStyleCnt="0"/>
      <dgm:spPr/>
    </dgm:pt>
    <dgm:pt modelId="{35D5CD7D-3A20-4EB8-B442-65E54571D39E}" type="pres">
      <dgm:prSet presAssocID="{2CB7F8B1-2637-4408-9185-3A95A2E4D4D4}" presName="childText" presStyleLbl="conFgAcc1" presStyleIdx="0" presStyleCnt="7" custLinFactNeighborX="210" custLinFactNeighborY="66562">
        <dgm:presLayoutVars>
          <dgm:bulletEnabled val="1"/>
        </dgm:presLayoutVars>
      </dgm:prSet>
      <dgm:spPr/>
      <dgm:t>
        <a:bodyPr/>
        <a:lstStyle/>
        <a:p>
          <a:endParaRPr lang="es-ES"/>
        </a:p>
      </dgm:t>
    </dgm:pt>
    <dgm:pt modelId="{AB83843B-19AA-4C45-ACB9-0772D543D28B}" type="pres">
      <dgm:prSet presAssocID="{1E2C00AA-92AD-4DFD-ADBE-9EE00E1BF72B}" presName="spaceBetweenRectangles" presStyleCnt="0"/>
      <dgm:spPr/>
    </dgm:pt>
    <dgm:pt modelId="{55019F05-739C-499C-85AD-7269005767A1}" type="pres">
      <dgm:prSet presAssocID="{8069E184-766F-4E8B-A1E8-51EDBCF8B787}" presName="parentLin" presStyleCnt="0"/>
      <dgm:spPr/>
    </dgm:pt>
    <dgm:pt modelId="{8FFBFEAB-4C29-43E1-9195-E019257224C0}" type="pres">
      <dgm:prSet presAssocID="{8069E184-766F-4E8B-A1E8-51EDBCF8B787}" presName="parentLeftMargin" presStyleLbl="node1" presStyleIdx="0" presStyleCnt="7"/>
      <dgm:spPr/>
      <dgm:t>
        <a:bodyPr/>
        <a:lstStyle/>
        <a:p>
          <a:endParaRPr lang="es-ES"/>
        </a:p>
      </dgm:t>
    </dgm:pt>
    <dgm:pt modelId="{C4175353-957F-4B0A-882A-9D65932C4C45}" type="pres">
      <dgm:prSet presAssocID="{8069E184-766F-4E8B-A1E8-51EDBCF8B787}" presName="parentText" presStyleLbl="node1" presStyleIdx="1" presStyleCnt="7" custLinFactNeighborX="7859" custLinFactNeighborY="9302">
        <dgm:presLayoutVars>
          <dgm:chMax val="0"/>
          <dgm:bulletEnabled val="1"/>
        </dgm:presLayoutVars>
      </dgm:prSet>
      <dgm:spPr/>
      <dgm:t>
        <a:bodyPr/>
        <a:lstStyle/>
        <a:p>
          <a:endParaRPr lang="es-ES"/>
        </a:p>
      </dgm:t>
    </dgm:pt>
    <dgm:pt modelId="{0862C50F-306A-4E6B-A23B-07B15ECDE9F7}" type="pres">
      <dgm:prSet presAssocID="{8069E184-766F-4E8B-A1E8-51EDBCF8B787}" presName="negativeSpace" presStyleCnt="0"/>
      <dgm:spPr/>
    </dgm:pt>
    <dgm:pt modelId="{BEC4ABD6-0E89-47BE-B95E-5D5D71B73DA1}" type="pres">
      <dgm:prSet presAssocID="{8069E184-766F-4E8B-A1E8-51EDBCF8B787}" presName="childText" presStyleLbl="conFgAcc1" presStyleIdx="1" presStyleCnt="7" custLinFactNeighborY="66562">
        <dgm:presLayoutVars>
          <dgm:bulletEnabled val="1"/>
        </dgm:presLayoutVars>
      </dgm:prSet>
      <dgm:spPr/>
      <dgm:t>
        <a:bodyPr/>
        <a:lstStyle/>
        <a:p>
          <a:endParaRPr lang="es-ES"/>
        </a:p>
      </dgm:t>
    </dgm:pt>
    <dgm:pt modelId="{BEB87FCE-F499-4870-8AB0-98F9F509D50E}" type="pres">
      <dgm:prSet presAssocID="{93F1D987-E557-4E03-8C29-D08B5E8AAD1B}" presName="spaceBetweenRectangles" presStyleCnt="0"/>
      <dgm:spPr/>
    </dgm:pt>
    <dgm:pt modelId="{3AA816E6-3A8D-45C3-B0AF-DCE6C0F7D52F}" type="pres">
      <dgm:prSet presAssocID="{717ECC8B-6813-4A27-9DC1-A0349E570257}" presName="parentLin" presStyleCnt="0"/>
      <dgm:spPr/>
    </dgm:pt>
    <dgm:pt modelId="{9702987D-0E97-487C-8CCC-50D92DF3BD3E}" type="pres">
      <dgm:prSet presAssocID="{717ECC8B-6813-4A27-9DC1-A0349E570257}" presName="parentLeftMargin" presStyleLbl="node1" presStyleIdx="1" presStyleCnt="7"/>
      <dgm:spPr/>
      <dgm:t>
        <a:bodyPr/>
        <a:lstStyle/>
        <a:p>
          <a:endParaRPr lang="es-ES"/>
        </a:p>
      </dgm:t>
    </dgm:pt>
    <dgm:pt modelId="{2F94551E-AD58-4389-A867-ACC7E854241D}" type="pres">
      <dgm:prSet presAssocID="{717ECC8B-6813-4A27-9DC1-A0349E570257}" presName="parentText" presStyleLbl="node1" presStyleIdx="2" presStyleCnt="7" custLinFactNeighborX="-3930" custLinFactNeighborY="9302">
        <dgm:presLayoutVars>
          <dgm:chMax val="0"/>
          <dgm:bulletEnabled val="1"/>
        </dgm:presLayoutVars>
      </dgm:prSet>
      <dgm:spPr/>
      <dgm:t>
        <a:bodyPr/>
        <a:lstStyle/>
        <a:p>
          <a:endParaRPr lang="es-ES"/>
        </a:p>
      </dgm:t>
    </dgm:pt>
    <dgm:pt modelId="{0B0D6F0B-4DEB-4B88-B257-B59830E60C59}" type="pres">
      <dgm:prSet presAssocID="{717ECC8B-6813-4A27-9DC1-A0349E570257}" presName="negativeSpace" presStyleCnt="0"/>
      <dgm:spPr/>
    </dgm:pt>
    <dgm:pt modelId="{3BC1BA34-3099-48F7-ADCC-C59CA8F05523}" type="pres">
      <dgm:prSet presAssocID="{717ECC8B-6813-4A27-9DC1-A0349E570257}" presName="childText" presStyleLbl="conFgAcc1" presStyleIdx="2" presStyleCnt="7" custScaleY="93432" custLinFactNeighborY="66561">
        <dgm:presLayoutVars>
          <dgm:bulletEnabled val="1"/>
        </dgm:presLayoutVars>
      </dgm:prSet>
      <dgm:spPr/>
      <dgm:t>
        <a:bodyPr/>
        <a:lstStyle/>
        <a:p>
          <a:endParaRPr lang="es-ES"/>
        </a:p>
      </dgm:t>
    </dgm:pt>
    <dgm:pt modelId="{ED98C6C5-10F9-43FD-B588-4DD8CA453F1D}" type="pres">
      <dgm:prSet presAssocID="{60E19195-CF68-47DE-9785-66C048977208}" presName="spaceBetweenRectangles" presStyleCnt="0"/>
      <dgm:spPr/>
    </dgm:pt>
    <dgm:pt modelId="{15A1C469-7C3A-4EBC-B23A-4CE4DD373580}" type="pres">
      <dgm:prSet presAssocID="{D67F9A5A-5E88-44A1-939C-135CE3AF4041}" presName="parentLin" presStyleCnt="0"/>
      <dgm:spPr/>
    </dgm:pt>
    <dgm:pt modelId="{3B8B29A2-8F27-4747-815F-4C192BC39EFB}" type="pres">
      <dgm:prSet presAssocID="{D67F9A5A-5E88-44A1-939C-135CE3AF4041}" presName="parentLeftMargin" presStyleLbl="node1" presStyleIdx="2" presStyleCnt="7"/>
      <dgm:spPr/>
      <dgm:t>
        <a:bodyPr/>
        <a:lstStyle/>
        <a:p>
          <a:endParaRPr lang="es-ES"/>
        </a:p>
      </dgm:t>
    </dgm:pt>
    <dgm:pt modelId="{514BAA5A-25A1-407B-9E98-4F585743FC17}" type="pres">
      <dgm:prSet presAssocID="{D67F9A5A-5E88-44A1-939C-135CE3AF4041}" presName="parentText" presStyleLbl="node1" presStyleIdx="3" presStyleCnt="7" custLinFactNeighborY="9302">
        <dgm:presLayoutVars>
          <dgm:chMax val="0"/>
          <dgm:bulletEnabled val="1"/>
        </dgm:presLayoutVars>
      </dgm:prSet>
      <dgm:spPr/>
      <dgm:t>
        <a:bodyPr/>
        <a:lstStyle/>
        <a:p>
          <a:endParaRPr lang="es-ES"/>
        </a:p>
      </dgm:t>
    </dgm:pt>
    <dgm:pt modelId="{584AD0D6-0EBE-40B3-A5EF-BEFBE1FDD233}" type="pres">
      <dgm:prSet presAssocID="{D67F9A5A-5E88-44A1-939C-135CE3AF4041}" presName="negativeSpace" presStyleCnt="0"/>
      <dgm:spPr/>
    </dgm:pt>
    <dgm:pt modelId="{06ACE6F8-0FA9-44AE-BA37-8718AB57D422}" type="pres">
      <dgm:prSet presAssocID="{D67F9A5A-5E88-44A1-939C-135CE3AF4041}" presName="childText" presStyleLbl="conFgAcc1" presStyleIdx="3" presStyleCnt="7" custLinFactY="571" custLinFactNeighborY="100000">
        <dgm:presLayoutVars>
          <dgm:bulletEnabled val="1"/>
        </dgm:presLayoutVars>
      </dgm:prSet>
      <dgm:spPr/>
      <dgm:t>
        <a:bodyPr/>
        <a:lstStyle/>
        <a:p>
          <a:endParaRPr lang="es-ES"/>
        </a:p>
      </dgm:t>
    </dgm:pt>
    <dgm:pt modelId="{728F8364-6B69-4FB1-8CEE-FE0453B48F74}" type="pres">
      <dgm:prSet presAssocID="{5865B6AA-9A9D-46ED-B85D-61C566F91B2B}" presName="spaceBetweenRectangles" presStyleCnt="0"/>
      <dgm:spPr/>
    </dgm:pt>
    <dgm:pt modelId="{2FED5211-A15F-4937-8626-A219A5AF8F6A}" type="pres">
      <dgm:prSet presAssocID="{CF4F553E-C1BC-4366-8D1F-2538C739F34D}" presName="parentLin" presStyleCnt="0"/>
      <dgm:spPr/>
    </dgm:pt>
    <dgm:pt modelId="{96E24B0A-8F37-4257-B7B3-645FB1DA6A85}" type="pres">
      <dgm:prSet presAssocID="{CF4F553E-C1BC-4366-8D1F-2538C739F34D}" presName="parentLeftMargin" presStyleLbl="node1" presStyleIdx="3" presStyleCnt="7"/>
      <dgm:spPr/>
      <dgm:t>
        <a:bodyPr/>
        <a:lstStyle/>
        <a:p>
          <a:endParaRPr lang="es-ES"/>
        </a:p>
      </dgm:t>
    </dgm:pt>
    <dgm:pt modelId="{72C2FA48-4513-4CD5-8267-CAFA222E040F}" type="pres">
      <dgm:prSet presAssocID="{CF4F553E-C1BC-4366-8D1F-2538C739F34D}" presName="parentText" presStyleLbl="node1" presStyleIdx="4" presStyleCnt="7" custLinFactNeighborX="-3930" custLinFactNeighborY="15503">
        <dgm:presLayoutVars>
          <dgm:chMax val="0"/>
          <dgm:bulletEnabled val="1"/>
        </dgm:presLayoutVars>
      </dgm:prSet>
      <dgm:spPr/>
      <dgm:t>
        <a:bodyPr/>
        <a:lstStyle/>
        <a:p>
          <a:endParaRPr lang="es-ES"/>
        </a:p>
      </dgm:t>
    </dgm:pt>
    <dgm:pt modelId="{C5574D53-E5B2-4961-BC19-B9AEEE8D8A74}" type="pres">
      <dgm:prSet presAssocID="{CF4F553E-C1BC-4366-8D1F-2538C739F34D}" presName="negativeSpace" presStyleCnt="0"/>
      <dgm:spPr/>
    </dgm:pt>
    <dgm:pt modelId="{4EFCDA67-9C44-44DD-A910-D775D3C6B542}" type="pres">
      <dgm:prSet presAssocID="{CF4F553E-C1BC-4366-8D1F-2538C739F34D}" presName="childText" presStyleLbl="conFgAcc1" presStyleIdx="4" presStyleCnt="7" custScaleY="87228" custLinFactNeighborY="79873">
        <dgm:presLayoutVars>
          <dgm:bulletEnabled val="1"/>
        </dgm:presLayoutVars>
      </dgm:prSet>
      <dgm:spPr/>
      <dgm:t>
        <a:bodyPr/>
        <a:lstStyle/>
        <a:p>
          <a:endParaRPr lang="es-ES"/>
        </a:p>
      </dgm:t>
    </dgm:pt>
    <dgm:pt modelId="{44903029-1598-44FF-927B-4388D5E8763C}" type="pres">
      <dgm:prSet presAssocID="{94558B0E-E006-4B59-8C83-CEE5060F8235}" presName="spaceBetweenRectangles" presStyleCnt="0"/>
      <dgm:spPr/>
    </dgm:pt>
    <dgm:pt modelId="{86EE8AB6-545B-4020-AEC6-19F34F74D919}" type="pres">
      <dgm:prSet presAssocID="{0E652C00-4F5E-4225-B0DE-1E16E467F052}" presName="parentLin" presStyleCnt="0"/>
      <dgm:spPr/>
    </dgm:pt>
    <dgm:pt modelId="{C7C02459-324F-4CBA-B9A7-D10266029FAC}" type="pres">
      <dgm:prSet presAssocID="{0E652C00-4F5E-4225-B0DE-1E16E467F052}" presName="parentLeftMargin" presStyleLbl="node1" presStyleIdx="4" presStyleCnt="7"/>
      <dgm:spPr/>
      <dgm:t>
        <a:bodyPr/>
        <a:lstStyle/>
        <a:p>
          <a:endParaRPr lang="es-ES"/>
        </a:p>
      </dgm:t>
    </dgm:pt>
    <dgm:pt modelId="{4E9F94DE-8CF1-4FE7-9A6B-53CB416743FC}" type="pres">
      <dgm:prSet presAssocID="{0E652C00-4F5E-4225-B0DE-1E16E467F052}" presName="parentText" presStyleLbl="node1" presStyleIdx="5" presStyleCnt="7" custLinFactNeighborY="12402">
        <dgm:presLayoutVars>
          <dgm:chMax val="0"/>
          <dgm:bulletEnabled val="1"/>
        </dgm:presLayoutVars>
      </dgm:prSet>
      <dgm:spPr/>
      <dgm:t>
        <a:bodyPr/>
        <a:lstStyle/>
        <a:p>
          <a:endParaRPr lang="es-ES"/>
        </a:p>
      </dgm:t>
    </dgm:pt>
    <dgm:pt modelId="{DD8C64AD-F0AB-4DAF-BD3D-6848B3517AE4}" type="pres">
      <dgm:prSet presAssocID="{0E652C00-4F5E-4225-B0DE-1E16E467F052}" presName="negativeSpace" presStyleCnt="0"/>
      <dgm:spPr/>
    </dgm:pt>
    <dgm:pt modelId="{FA8C06B1-BAA1-4827-A601-D14B18466DB6}" type="pres">
      <dgm:prSet presAssocID="{0E652C00-4F5E-4225-B0DE-1E16E467F052}" presName="childText" presStyleLbl="conFgAcc1" presStyleIdx="5" presStyleCnt="7" custLinFactNeighborY="66562">
        <dgm:presLayoutVars>
          <dgm:bulletEnabled val="1"/>
        </dgm:presLayoutVars>
      </dgm:prSet>
      <dgm:spPr/>
      <dgm:t>
        <a:bodyPr/>
        <a:lstStyle/>
        <a:p>
          <a:endParaRPr lang="es-ES"/>
        </a:p>
      </dgm:t>
    </dgm:pt>
    <dgm:pt modelId="{D62CC520-BE4A-45F5-85CF-6F1FF6479E7B}" type="pres">
      <dgm:prSet presAssocID="{49049186-C28C-4B3F-A75E-A3310F719D8A}" presName="spaceBetweenRectangles" presStyleCnt="0"/>
      <dgm:spPr/>
    </dgm:pt>
    <dgm:pt modelId="{0ACFCED0-6DBF-47C9-BEFF-1C22DE7DB9F3}" type="pres">
      <dgm:prSet presAssocID="{38D6ECF3-9DC0-4FA5-AA85-AE678086D86F}" presName="parentLin" presStyleCnt="0"/>
      <dgm:spPr/>
    </dgm:pt>
    <dgm:pt modelId="{A03587EF-2C72-4284-B879-B71BE0640BA4}" type="pres">
      <dgm:prSet presAssocID="{38D6ECF3-9DC0-4FA5-AA85-AE678086D86F}" presName="parentLeftMargin" presStyleLbl="node1" presStyleIdx="5" presStyleCnt="7"/>
      <dgm:spPr/>
      <dgm:t>
        <a:bodyPr/>
        <a:lstStyle/>
        <a:p>
          <a:endParaRPr lang="es-ES"/>
        </a:p>
      </dgm:t>
    </dgm:pt>
    <dgm:pt modelId="{0BB363C2-1000-4D63-89E1-75C121258685}" type="pres">
      <dgm:prSet presAssocID="{38D6ECF3-9DC0-4FA5-AA85-AE678086D86F}" presName="parentText" presStyleLbl="node1" presStyleIdx="6" presStyleCnt="7" custLinFactNeighborX="3930" custLinFactNeighborY="12402">
        <dgm:presLayoutVars>
          <dgm:chMax val="0"/>
          <dgm:bulletEnabled val="1"/>
        </dgm:presLayoutVars>
      </dgm:prSet>
      <dgm:spPr/>
      <dgm:t>
        <a:bodyPr/>
        <a:lstStyle/>
        <a:p>
          <a:endParaRPr lang="es-ES"/>
        </a:p>
      </dgm:t>
    </dgm:pt>
    <dgm:pt modelId="{C9B2B30D-0668-43BB-8909-432202A9EDB4}" type="pres">
      <dgm:prSet presAssocID="{38D6ECF3-9DC0-4FA5-AA85-AE678086D86F}" presName="negativeSpace" presStyleCnt="0"/>
      <dgm:spPr/>
    </dgm:pt>
    <dgm:pt modelId="{77262FC2-D56C-47EC-A6D3-390D5DF0E708}" type="pres">
      <dgm:prSet presAssocID="{38D6ECF3-9DC0-4FA5-AA85-AE678086D86F}" presName="childText" presStyleLbl="conFgAcc1" presStyleIdx="6" presStyleCnt="7" custLinFactNeighborY="19481">
        <dgm:presLayoutVars>
          <dgm:bulletEnabled val="1"/>
        </dgm:presLayoutVars>
      </dgm:prSet>
      <dgm:spPr/>
      <dgm:t>
        <a:bodyPr/>
        <a:lstStyle/>
        <a:p>
          <a:endParaRPr lang="es-ES"/>
        </a:p>
      </dgm:t>
    </dgm:pt>
  </dgm:ptLst>
  <dgm:cxnLst>
    <dgm:cxn modelId="{67B9198E-5C25-4F67-B9CB-41843459D987}" type="presOf" srcId="{C8F6D009-A118-4555-A677-CBA61BF6F0D5}" destId="{BEC4ABD6-0E89-47BE-B95E-5D5D71B73DA1}" srcOrd="0" destOrd="2" presId="urn:microsoft.com/office/officeart/2005/8/layout/list1"/>
    <dgm:cxn modelId="{A43DF155-EDED-4348-8849-3FB54F8752F4}" srcId="{0E652C00-4F5E-4225-B0DE-1E16E467F052}" destId="{FDC96EDD-2D2E-424F-9793-6C67FBB810DD}" srcOrd="0" destOrd="0" parTransId="{C0F088F2-D816-422B-A598-8465D4C16265}" sibTransId="{D85BC74A-2C14-4596-B306-9B50E9FDF986}"/>
    <dgm:cxn modelId="{B2CEC7D1-0EF3-43E8-A8C4-CA91F9F8B2C6}" srcId="{717ECC8B-6813-4A27-9DC1-A0349E570257}" destId="{320F87EC-CED1-4210-8A86-B8F3B4014BD7}" srcOrd="2" destOrd="0" parTransId="{3E66B59C-1F4A-4068-B805-1D0FD9DF5EB9}" sibTransId="{9C227A2C-DB8C-4F82-9033-31A1665D63A3}"/>
    <dgm:cxn modelId="{39949B06-98CA-426A-A4A6-EA0210D2BAFD}" type="presOf" srcId="{DCD48D7A-4B03-4423-8CB5-5C5D79405805}" destId="{1DEF4F99-0D10-4E54-A0BF-F9524F830250}" srcOrd="0" destOrd="0" presId="urn:microsoft.com/office/officeart/2005/8/layout/list1"/>
    <dgm:cxn modelId="{53E3005D-DDEB-4AC2-998E-187B375B14B2}" type="presOf" srcId="{4E33CAE3-BFA7-460A-ADA1-9740AF500CD1}" destId="{BEC4ABD6-0E89-47BE-B95E-5D5D71B73DA1}" srcOrd="0" destOrd="0" presId="urn:microsoft.com/office/officeart/2005/8/layout/list1"/>
    <dgm:cxn modelId="{F5B463A9-1C63-49AF-836D-039CF3C3D222}" type="presOf" srcId="{CF379588-8D99-446E-9DA3-7D31B1AC5467}" destId="{06ACE6F8-0FA9-44AE-BA37-8718AB57D422}" srcOrd="0" destOrd="0" presId="urn:microsoft.com/office/officeart/2005/8/layout/list1"/>
    <dgm:cxn modelId="{3C68E3D5-A553-46EE-8B80-FB51032E4800}" type="presOf" srcId="{2CB7F8B1-2637-4408-9185-3A95A2E4D4D4}" destId="{545F5493-E5D3-45CD-9407-AD3146FF5B66}" srcOrd="0" destOrd="0" presId="urn:microsoft.com/office/officeart/2005/8/layout/list1"/>
    <dgm:cxn modelId="{10D3294F-F4FE-4252-AA72-A2630A60CBB1}" type="presOf" srcId="{CF4F553E-C1BC-4366-8D1F-2538C739F34D}" destId="{72C2FA48-4513-4CD5-8267-CAFA222E040F}" srcOrd="1" destOrd="0" presId="urn:microsoft.com/office/officeart/2005/8/layout/list1"/>
    <dgm:cxn modelId="{6E3F353F-69A6-470A-90DF-68C45401EC8C}" type="presOf" srcId="{CF4F553E-C1BC-4366-8D1F-2538C739F34D}" destId="{96E24B0A-8F37-4257-B7B3-645FB1DA6A85}" srcOrd="0" destOrd="0" presId="urn:microsoft.com/office/officeart/2005/8/layout/list1"/>
    <dgm:cxn modelId="{56BF2655-C497-4B6B-B54F-A5D6AF560C8B}" type="presOf" srcId="{6632AE42-4A3F-47A4-991F-05B67D9E15A4}" destId="{FA8C06B1-BAA1-4827-A601-D14B18466DB6}" srcOrd="0" destOrd="1" presId="urn:microsoft.com/office/officeart/2005/8/layout/list1"/>
    <dgm:cxn modelId="{C0D90BEF-14F4-437B-ACE6-480F7ECC25D2}" type="presOf" srcId="{38D6ECF3-9DC0-4FA5-AA85-AE678086D86F}" destId="{0BB363C2-1000-4D63-89E1-75C121258685}" srcOrd="1" destOrd="0" presId="urn:microsoft.com/office/officeart/2005/8/layout/list1"/>
    <dgm:cxn modelId="{904368FD-DC32-48DB-BD7A-883A171FA293}" type="presOf" srcId="{FFA71FF0-2ACD-4163-B043-1EB367B6C2B1}" destId="{BEC4ABD6-0E89-47BE-B95E-5D5D71B73DA1}" srcOrd="0" destOrd="3" presId="urn:microsoft.com/office/officeart/2005/8/layout/list1"/>
    <dgm:cxn modelId="{DF270C1B-8DAC-4DC2-9C2B-404524166343}" srcId="{DCD48D7A-4B03-4423-8CB5-5C5D79405805}" destId="{2CB7F8B1-2637-4408-9185-3A95A2E4D4D4}" srcOrd="0" destOrd="0" parTransId="{64144A9E-10F1-4862-BFC7-09D5896ACB2E}" sibTransId="{1E2C00AA-92AD-4DFD-ADBE-9EE00E1BF72B}"/>
    <dgm:cxn modelId="{B6A3FAA2-72B7-4EDF-9F2B-07756CCFD145}" type="presOf" srcId="{0C7E1392-1B2E-4473-98A3-7DB95B0F3E41}" destId="{3BC1BA34-3099-48F7-ADCC-C59CA8F05523}" srcOrd="0" destOrd="3" presId="urn:microsoft.com/office/officeart/2005/8/layout/list1"/>
    <dgm:cxn modelId="{6C6EB5FC-FF88-485A-AB17-1DEBD14B1B4D}" srcId="{717ECC8B-6813-4A27-9DC1-A0349E570257}" destId="{34106E7C-5D09-4727-92DE-E55E74AC51EE}" srcOrd="4" destOrd="0" parTransId="{9975E2E8-9436-4F43-A130-25EADB8F15E6}" sibTransId="{55FD3231-A594-44A3-9758-E80BFF642EBF}"/>
    <dgm:cxn modelId="{390B20E6-A9D0-40A0-91E1-C0FE58040D6E}" type="presOf" srcId="{260FD557-A6C6-4FE3-8993-4A56E5810063}" destId="{35D5CD7D-3A20-4EB8-B442-65E54571D39E}" srcOrd="0" destOrd="3" presId="urn:microsoft.com/office/officeart/2005/8/layout/list1"/>
    <dgm:cxn modelId="{B83F70F1-0D48-4D91-8D66-89823BD64B2E}" type="presOf" srcId="{0E652C00-4F5E-4225-B0DE-1E16E467F052}" destId="{C7C02459-324F-4CBA-B9A7-D10266029FAC}" srcOrd="0" destOrd="0" presId="urn:microsoft.com/office/officeart/2005/8/layout/list1"/>
    <dgm:cxn modelId="{A8694B9B-DC05-4BB0-A409-CBB61FB7F639}" srcId="{2CB7F8B1-2637-4408-9185-3A95A2E4D4D4}" destId="{789B5BC8-288B-4DDA-AB25-039F66BEA3B1}" srcOrd="1" destOrd="0" parTransId="{20DF2F84-B159-462C-A073-B863B19CCFA9}" sibTransId="{F75FF99A-F150-48D0-B60B-5CB30D5A0E5A}"/>
    <dgm:cxn modelId="{C7759BAB-9FB4-42A6-99DA-5E5775983911}" type="presOf" srcId="{C14DAE80-C9AD-4DF2-AB00-76A03871C660}" destId="{4EFCDA67-9C44-44DD-A910-D775D3C6B542}" srcOrd="0" destOrd="0" presId="urn:microsoft.com/office/officeart/2005/8/layout/list1"/>
    <dgm:cxn modelId="{AE5988E1-7C16-4B0A-ABF6-7C82ABA26687}" srcId="{2CB7F8B1-2637-4408-9185-3A95A2E4D4D4}" destId="{260FD557-A6C6-4FE3-8993-4A56E5810063}" srcOrd="3" destOrd="0" parTransId="{99DC8CBA-2F58-4241-815F-B0348FB0A095}" sibTransId="{F96C925A-00E1-4DCD-9FAA-8558FB848EF6}"/>
    <dgm:cxn modelId="{A2827875-87B0-4C3D-9E40-622962BC691D}" srcId="{DCD48D7A-4B03-4423-8CB5-5C5D79405805}" destId="{8069E184-766F-4E8B-A1E8-51EDBCF8B787}" srcOrd="1" destOrd="0" parTransId="{F64789F9-D1CE-4AFA-889E-41DC5016CFAB}" sibTransId="{93F1D987-E557-4E03-8C29-D08B5E8AAD1B}"/>
    <dgm:cxn modelId="{72240C85-9D5C-458C-B319-EA4B04B6FA8A}" srcId="{D67F9A5A-5E88-44A1-939C-135CE3AF4041}" destId="{51776FAA-A67F-43C9-93A9-09460B1195D0}" srcOrd="2" destOrd="0" parTransId="{F49DC0A9-8665-4ADA-A379-AC107454A3ED}" sibTransId="{C8B4DFF5-5087-4292-AE4B-32507D166EBF}"/>
    <dgm:cxn modelId="{6E1DD283-6A02-4C7B-967E-43E4F2241590}" srcId="{2CB7F8B1-2637-4408-9185-3A95A2E4D4D4}" destId="{D49A736D-D090-4C3F-B7C8-90E12189F4E6}" srcOrd="0" destOrd="0" parTransId="{6CB8211D-3027-42B8-8E1D-7F7CC0C2C2AF}" sibTransId="{085597EB-8A00-4F32-B9FE-6AE8F6AD66DB}"/>
    <dgm:cxn modelId="{86BCD402-AC25-4EFC-9A1D-FA632AC7B6B7}" type="presOf" srcId="{D67F9A5A-5E88-44A1-939C-135CE3AF4041}" destId="{514BAA5A-25A1-407B-9E98-4F585743FC17}" srcOrd="1" destOrd="0" presId="urn:microsoft.com/office/officeart/2005/8/layout/list1"/>
    <dgm:cxn modelId="{DB12D2DB-01C4-4C72-B613-D8E0FA85016F}" type="presOf" srcId="{D67F9A5A-5E88-44A1-939C-135CE3AF4041}" destId="{3B8B29A2-8F27-4747-815F-4C192BC39EFB}" srcOrd="0" destOrd="0" presId="urn:microsoft.com/office/officeart/2005/8/layout/list1"/>
    <dgm:cxn modelId="{23E9C680-B431-4473-9AF5-E1D6CFC8BC2E}" type="presOf" srcId="{98B28FD7-1DA8-4B1D-A743-BD64C0AAE85A}" destId="{35D5CD7D-3A20-4EB8-B442-65E54571D39E}" srcOrd="0" destOrd="2" presId="urn:microsoft.com/office/officeart/2005/8/layout/list1"/>
    <dgm:cxn modelId="{09C94807-2443-4E06-A6A2-8ACA048AF36F}" type="presOf" srcId="{0E652C00-4F5E-4225-B0DE-1E16E467F052}" destId="{4E9F94DE-8CF1-4FE7-9A6B-53CB416743FC}" srcOrd="1" destOrd="0" presId="urn:microsoft.com/office/officeart/2005/8/layout/list1"/>
    <dgm:cxn modelId="{228A001C-DFEF-4BA8-8945-6B052FD3DB06}" srcId="{DCD48D7A-4B03-4423-8CB5-5C5D79405805}" destId="{38D6ECF3-9DC0-4FA5-AA85-AE678086D86F}" srcOrd="6" destOrd="0" parTransId="{CA07B11D-A281-4474-956D-CE017D55096D}" sibTransId="{23F1DCF5-3AF5-46F5-8EBA-1B227FFDA68A}"/>
    <dgm:cxn modelId="{FAE50C2E-D4BD-46F3-ACBD-9DE02637A7D6}" srcId="{CF4F553E-C1BC-4366-8D1F-2538C739F34D}" destId="{C14DAE80-C9AD-4DF2-AB00-76A03871C660}" srcOrd="0" destOrd="0" parTransId="{1B35EC25-3A5D-44C3-8EC6-1F67B5E94F65}" sibTransId="{EB3C29DE-5BFD-45F2-B15E-ED5B03F68740}"/>
    <dgm:cxn modelId="{49B31584-FEF4-4442-B336-882A9C197EAC}" type="presOf" srcId="{92E8A65F-F99F-488E-AF0A-565C72278797}" destId="{77262FC2-D56C-47EC-A6D3-390D5DF0E708}" srcOrd="0" destOrd="1" presId="urn:microsoft.com/office/officeart/2005/8/layout/list1"/>
    <dgm:cxn modelId="{CBF95272-9C66-408A-9CF3-C7F12DD60BBE}" srcId="{CF4F553E-C1BC-4366-8D1F-2538C739F34D}" destId="{2DDC3C6B-EB89-41BC-9626-2C8602AFD180}" srcOrd="2" destOrd="0" parTransId="{8CA01F60-749A-4F13-A5F9-52959A1E5ACD}" sibTransId="{4EF9A5D6-D9ED-4637-A11E-A0AF0603FCE7}"/>
    <dgm:cxn modelId="{64B9461D-EAC6-4AD6-8946-7E802054283C}" srcId="{D67F9A5A-5E88-44A1-939C-135CE3AF4041}" destId="{CF379588-8D99-446E-9DA3-7D31B1AC5467}" srcOrd="0" destOrd="0" parTransId="{C53496FF-16AA-4B86-9A97-C210D3425615}" sibTransId="{FA04A515-77A5-47E1-9A21-427002F75BBD}"/>
    <dgm:cxn modelId="{A78FA5E5-A2BA-4B5D-B58A-F79B8B58EBA0}" type="presOf" srcId="{2DDC3C6B-EB89-41BC-9626-2C8602AFD180}" destId="{4EFCDA67-9C44-44DD-A910-D775D3C6B542}" srcOrd="0" destOrd="2" presId="urn:microsoft.com/office/officeart/2005/8/layout/list1"/>
    <dgm:cxn modelId="{01DF30FD-85F5-4932-8A85-620FE2B1C5CA}" type="presOf" srcId="{38D6ECF3-9DC0-4FA5-AA85-AE678086D86F}" destId="{A03587EF-2C72-4284-B879-B71BE0640BA4}" srcOrd="0" destOrd="0" presId="urn:microsoft.com/office/officeart/2005/8/layout/list1"/>
    <dgm:cxn modelId="{C57E6554-2260-4CA8-9E7D-8591D135E53F}" srcId="{2CB7F8B1-2637-4408-9185-3A95A2E4D4D4}" destId="{98B28FD7-1DA8-4B1D-A743-BD64C0AAE85A}" srcOrd="2" destOrd="0" parTransId="{6A5ADD14-5B36-4C8F-9B65-6460DDCE482E}" sibTransId="{55643889-0069-4635-8EFF-361433B6492D}"/>
    <dgm:cxn modelId="{62C6A6A5-51AF-43F3-B103-5345821FAFEE}" srcId="{0E652C00-4F5E-4225-B0DE-1E16E467F052}" destId="{E9D3C62B-362B-44C9-A42A-154B9DBAE91C}" srcOrd="2" destOrd="0" parTransId="{C9AEF7BE-B561-478B-BAC4-CA5215113050}" sibTransId="{FFF495EB-AA84-4FB0-A607-B67EEC28EFF6}"/>
    <dgm:cxn modelId="{91767749-E65F-449F-BD07-C9B78444673B}" type="presOf" srcId="{8069E184-766F-4E8B-A1E8-51EDBCF8B787}" destId="{C4175353-957F-4B0A-882A-9D65932C4C45}" srcOrd="1" destOrd="0" presId="urn:microsoft.com/office/officeart/2005/8/layout/list1"/>
    <dgm:cxn modelId="{4C31F452-932E-4B3C-A24D-BB317566F188}" type="presOf" srcId="{08ED7DEB-8B98-40A9-9699-ACCFB829DBE2}" destId="{BEC4ABD6-0E89-47BE-B95E-5D5D71B73DA1}" srcOrd="0" destOrd="1" presId="urn:microsoft.com/office/officeart/2005/8/layout/list1"/>
    <dgm:cxn modelId="{E56EA914-32FC-4F01-AE21-F02AF3BAD451}" srcId="{DCD48D7A-4B03-4423-8CB5-5C5D79405805}" destId="{D67F9A5A-5E88-44A1-939C-135CE3AF4041}" srcOrd="3" destOrd="0" parTransId="{147BBB2B-EBFD-43A6-B289-2DA32B306280}" sibTransId="{5865B6AA-9A9D-46ED-B85D-61C566F91B2B}"/>
    <dgm:cxn modelId="{3673614D-FB3D-4D84-B4D5-C1C1FEB93DC6}" srcId="{D67F9A5A-5E88-44A1-939C-135CE3AF4041}" destId="{477C0414-2F64-47A3-9675-FE2E4F8C4A83}" srcOrd="3" destOrd="0" parTransId="{211F0972-F335-42CF-8898-D6AD2F24BDF4}" sibTransId="{8249E61B-7B06-45EC-87B1-4624BFB202FC}"/>
    <dgm:cxn modelId="{44A4FD8C-B715-4763-9E06-4EBC7F129D51}" srcId="{CF4F553E-C1BC-4366-8D1F-2538C739F34D}" destId="{FB36F50F-332B-41E1-B818-61C37228C5CE}" srcOrd="1" destOrd="0" parTransId="{1B402964-486C-4D88-B25B-BFBD3B7CB725}" sibTransId="{2F60FF59-EE81-4035-BCD0-A1A526D6233D}"/>
    <dgm:cxn modelId="{F617155A-07A4-40C6-B9E5-6E820D5C2875}" srcId="{38D6ECF3-9DC0-4FA5-AA85-AE678086D86F}" destId="{29647C36-AD56-480A-B274-AFD85B8257AC}" srcOrd="2" destOrd="0" parTransId="{4CAE2BE9-B466-4310-88AB-C78BF23B7371}" sibTransId="{8B89DDF0-7CED-46E8-8F61-0B17466698FF}"/>
    <dgm:cxn modelId="{3BF7423E-3DB0-4A87-A18C-2FC41867B2B4}" srcId="{8069E184-766F-4E8B-A1E8-51EDBCF8B787}" destId="{4E33CAE3-BFA7-460A-ADA1-9740AF500CD1}" srcOrd="0" destOrd="0" parTransId="{9DB4B8DC-C792-4F88-B9F0-3F8C466B68ED}" sibTransId="{4C4701A6-649F-4B75-8728-83D55A5A5663}"/>
    <dgm:cxn modelId="{0CAB92AF-DA12-4A69-B592-C211B1603E46}" type="presOf" srcId="{F2356AF9-BEEF-4B44-8D11-6960D17AF916}" destId="{06ACE6F8-0FA9-44AE-BA37-8718AB57D422}" srcOrd="0" destOrd="1" presId="urn:microsoft.com/office/officeart/2005/8/layout/list1"/>
    <dgm:cxn modelId="{9515F576-512B-4C41-9F47-3A4D09823602}" type="presOf" srcId="{FDC96EDD-2D2E-424F-9793-6C67FBB810DD}" destId="{FA8C06B1-BAA1-4827-A601-D14B18466DB6}" srcOrd="0" destOrd="0" presId="urn:microsoft.com/office/officeart/2005/8/layout/list1"/>
    <dgm:cxn modelId="{E7A50992-9030-47C1-8E52-A2B896656A51}" type="presOf" srcId="{34106E7C-5D09-4727-92DE-E55E74AC51EE}" destId="{3BC1BA34-3099-48F7-ADCC-C59CA8F05523}" srcOrd="0" destOrd="4" presId="urn:microsoft.com/office/officeart/2005/8/layout/list1"/>
    <dgm:cxn modelId="{3F409E34-BFAE-45FE-A027-0ABAC99B8A84}" srcId="{38D6ECF3-9DC0-4FA5-AA85-AE678086D86F}" destId="{92E8A65F-F99F-488E-AF0A-565C72278797}" srcOrd="1" destOrd="0" parTransId="{66E38FC8-C18A-470F-A205-AE2365A9DE78}" sibTransId="{B79C7341-D380-4E6F-A6A3-3F12A56CC081}"/>
    <dgm:cxn modelId="{E88658A0-3BDE-454E-A794-8505E55DC105}" srcId="{DCD48D7A-4B03-4423-8CB5-5C5D79405805}" destId="{CF4F553E-C1BC-4366-8D1F-2538C739F34D}" srcOrd="4" destOrd="0" parTransId="{87729DE7-2820-4664-B237-4A95FE1E2F12}" sibTransId="{94558B0E-E006-4B59-8C83-CEE5060F8235}"/>
    <dgm:cxn modelId="{14F3064A-33D5-4A50-A94F-22EB976BA100}" type="presOf" srcId="{789B5BC8-288B-4DDA-AB25-039F66BEA3B1}" destId="{35D5CD7D-3A20-4EB8-B442-65E54571D39E}" srcOrd="0" destOrd="1" presId="urn:microsoft.com/office/officeart/2005/8/layout/list1"/>
    <dgm:cxn modelId="{66F80349-2184-4386-B9D3-B0DFF876CB84}" srcId="{0E652C00-4F5E-4225-B0DE-1E16E467F052}" destId="{6632AE42-4A3F-47A4-991F-05B67D9E15A4}" srcOrd="1" destOrd="0" parTransId="{EA24CD28-DA30-489E-812A-8D006AD804E2}" sibTransId="{413A0DEC-0431-4D0A-9CF6-9F28DD448962}"/>
    <dgm:cxn modelId="{AF2C1DF1-0917-4A12-AD82-87034F4AA6BD}" srcId="{717ECC8B-6813-4A27-9DC1-A0349E570257}" destId="{4A7800C9-7D3D-4FD3-A0C8-055EA574631C}" srcOrd="1" destOrd="0" parTransId="{E88C88D6-C647-44AC-8F34-1CDDF9D56EAE}" sibTransId="{011E79F5-D3D2-430D-AB83-E364AA563D3C}"/>
    <dgm:cxn modelId="{ABA36423-4ADF-4BC2-B9D4-4551354C1F10}" srcId="{DCD48D7A-4B03-4423-8CB5-5C5D79405805}" destId="{0E652C00-4F5E-4225-B0DE-1E16E467F052}" srcOrd="5" destOrd="0" parTransId="{6B4BA892-C7B2-40DA-97EE-3611027033ED}" sibTransId="{49049186-C28C-4B3F-A75E-A3310F719D8A}"/>
    <dgm:cxn modelId="{794DEFC0-78A8-4CCF-9C86-48F2FE94417F}" type="presOf" srcId="{90932CD4-98AF-4D20-B3A5-3F4217DAB33C}" destId="{3BC1BA34-3099-48F7-ADCC-C59CA8F05523}" srcOrd="0" destOrd="0" presId="urn:microsoft.com/office/officeart/2005/8/layout/list1"/>
    <dgm:cxn modelId="{D226197F-CE6B-4E8C-8CDE-97726899C8AD}" type="presOf" srcId="{FB36F50F-332B-41E1-B818-61C37228C5CE}" destId="{4EFCDA67-9C44-44DD-A910-D775D3C6B542}" srcOrd="0" destOrd="1" presId="urn:microsoft.com/office/officeart/2005/8/layout/list1"/>
    <dgm:cxn modelId="{5B0414C2-1728-459D-B4A9-EB7A43C62996}" type="presOf" srcId="{717ECC8B-6813-4A27-9DC1-A0349E570257}" destId="{9702987D-0E97-487C-8CCC-50D92DF3BD3E}" srcOrd="0" destOrd="0" presId="urn:microsoft.com/office/officeart/2005/8/layout/list1"/>
    <dgm:cxn modelId="{478F5893-B289-4B36-A04A-A02DEA40ACC3}" srcId="{8069E184-766F-4E8B-A1E8-51EDBCF8B787}" destId="{FFA71FF0-2ACD-4163-B043-1EB367B6C2B1}" srcOrd="3" destOrd="0" parTransId="{201802FC-6167-42F1-933E-394845600453}" sibTransId="{B39A6FB6-B160-47AD-A274-EF0DD243C32D}"/>
    <dgm:cxn modelId="{E923423D-189A-42D5-94FC-8E1EFC60C632}" type="presOf" srcId="{D49A736D-D090-4C3F-B7C8-90E12189F4E6}" destId="{35D5CD7D-3A20-4EB8-B442-65E54571D39E}" srcOrd="0" destOrd="0" presId="urn:microsoft.com/office/officeart/2005/8/layout/list1"/>
    <dgm:cxn modelId="{31AA144C-E5AF-41D8-8CB7-8A2D48F310D0}" type="presOf" srcId="{51776FAA-A67F-43C9-93A9-09460B1195D0}" destId="{06ACE6F8-0FA9-44AE-BA37-8718AB57D422}" srcOrd="0" destOrd="2" presId="urn:microsoft.com/office/officeart/2005/8/layout/list1"/>
    <dgm:cxn modelId="{B7FD2BA0-B80B-4666-86AB-099B7EA06341}" type="presOf" srcId="{E9D3C62B-362B-44C9-A42A-154B9DBAE91C}" destId="{FA8C06B1-BAA1-4827-A601-D14B18466DB6}" srcOrd="0" destOrd="2" presId="urn:microsoft.com/office/officeart/2005/8/layout/list1"/>
    <dgm:cxn modelId="{5EFBE1C5-BAFA-4A4F-97DC-DCEC94D3930E}" type="presOf" srcId="{7AD3D970-693A-46CB-93F2-8719BB4A2138}" destId="{77262FC2-D56C-47EC-A6D3-390D5DF0E708}" srcOrd="0" destOrd="0" presId="urn:microsoft.com/office/officeart/2005/8/layout/list1"/>
    <dgm:cxn modelId="{F0618CD4-2AC3-47D0-8F11-BACCD701AD92}" type="presOf" srcId="{717ECC8B-6813-4A27-9DC1-A0349E570257}" destId="{2F94551E-AD58-4389-A867-ACC7E854241D}" srcOrd="1" destOrd="0" presId="urn:microsoft.com/office/officeart/2005/8/layout/list1"/>
    <dgm:cxn modelId="{48FD79B7-0A80-4168-B74D-E45585C648D8}" srcId="{DCD48D7A-4B03-4423-8CB5-5C5D79405805}" destId="{717ECC8B-6813-4A27-9DC1-A0349E570257}" srcOrd="2" destOrd="0" parTransId="{D945DCAA-29DE-415E-9EC0-2EA9CDBA637F}" sibTransId="{60E19195-CF68-47DE-9785-66C048977208}"/>
    <dgm:cxn modelId="{21FF54B0-7061-409D-AA77-9C011DC7E50B}" srcId="{717ECC8B-6813-4A27-9DC1-A0349E570257}" destId="{0C7E1392-1B2E-4473-98A3-7DB95B0F3E41}" srcOrd="3" destOrd="0" parTransId="{1BB85BBF-AE3C-4053-94E1-A07AA9D27118}" sibTransId="{170804D9-020B-4492-BDDC-2864E2B9B088}"/>
    <dgm:cxn modelId="{81798117-7F32-4512-A9BE-FB15A365DCF2}" type="presOf" srcId="{477C0414-2F64-47A3-9675-FE2E4F8C4A83}" destId="{06ACE6F8-0FA9-44AE-BA37-8718AB57D422}" srcOrd="0" destOrd="3" presId="urn:microsoft.com/office/officeart/2005/8/layout/list1"/>
    <dgm:cxn modelId="{5106C352-9084-428F-ABCE-4715AAA43E33}" type="presOf" srcId="{29647C36-AD56-480A-B274-AFD85B8257AC}" destId="{77262FC2-D56C-47EC-A6D3-390D5DF0E708}" srcOrd="0" destOrd="2" presId="urn:microsoft.com/office/officeart/2005/8/layout/list1"/>
    <dgm:cxn modelId="{47FA276C-8AB9-4C50-93CB-3C240B93E4C4}" srcId="{8069E184-766F-4E8B-A1E8-51EDBCF8B787}" destId="{C8F6D009-A118-4555-A677-CBA61BF6F0D5}" srcOrd="2" destOrd="0" parTransId="{C71E5930-069B-45A4-B7EB-02FF81630C0E}" sibTransId="{EC10895F-10B2-42FD-BCC8-4993E1130164}"/>
    <dgm:cxn modelId="{954406F2-1B59-4EB7-8571-C1BB56C70C82}" type="presOf" srcId="{320F87EC-CED1-4210-8A86-B8F3B4014BD7}" destId="{3BC1BA34-3099-48F7-ADCC-C59CA8F05523}" srcOrd="0" destOrd="2" presId="urn:microsoft.com/office/officeart/2005/8/layout/list1"/>
    <dgm:cxn modelId="{C7F3AF26-7028-4FBC-A3B8-442CFA4F4A7F}" type="presOf" srcId="{4A7800C9-7D3D-4FD3-A0C8-055EA574631C}" destId="{3BC1BA34-3099-48F7-ADCC-C59CA8F05523}" srcOrd="0" destOrd="1" presId="urn:microsoft.com/office/officeart/2005/8/layout/list1"/>
    <dgm:cxn modelId="{0F5FD01F-7C50-4552-ACA8-1BCD7B93BC0C}" type="presOf" srcId="{275C1FC4-3E17-4EB7-B629-3B18A2C22A68}" destId="{3BC1BA34-3099-48F7-ADCC-C59CA8F05523}" srcOrd="0" destOrd="5" presId="urn:microsoft.com/office/officeart/2005/8/layout/list1"/>
    <dgm:cxn modelId="{9A2394D6-DEA8-457C-A7F6-0CA60D78D7EA}" srcId="{8069E184-766F-4E8B-A1E8-51EDBCF8B787}" destId="{08ED7DEB-8B98-40A9-9699-ACCFB829DBE2}" srcOrd="1" destOrd="0" parTransId="{C96799B1-BF4C-4F01-9A1B-8BF2A3D32A1B}" sibTransId="{BC1C2EC9-649F-493C-B095-2F14FEE273F0}"/>
    <dgm:cxn modelId="{84B27017-A550-4955-B34A-A6F39E2DEC14}" srcId="{38D6ECF3-9DC0-4FA5-AA85-AE678086D86F}" destId="{7AD3D970-693A-46CB-93F2-8719BB4A2138}" srcOrd="0" destOrd="0" parTransId="{76659B4B-2119-4F3E-A632-F083A9E2AF61}" sibTransId="{004D6EF7-97F6-4EB3-9B3E-229E15C08DFD}"/>
    <dgm:cxn modelId="{6ECE81EC-BB4B-453C-92DD-2559DD914CE7}" type="presOf" srcId="{2CB7F8B1-2637-4408-9185-3A95A2E4D4D4}" destId="{E6E34545-7A70-45F5-AF30-5300FEAF0CB4}" srcOrd="1" destOrd="0" presId="urn:microsoft.com/office/officeart/2005/8/layout/list1"/>
    <dgm:cxn modelId="{1FF54305-BFB2-4855-ACDA-8F153FA4F52D}" type="presOf" srcId="{8069E184-766F-4E8B-A1E8-51EDBCF8B787}" destId="{8FFBFEAB-4C29-43E1-9195-E019257224C0}" srcOrd="0" destOrd="0" presId="urn:microsoft.com/office/officeart/2005/8/layout/list1"/>
    <dgm:cxn modelId="{86FF9304-A88E-4E74-AECB-FD793CD64EBE}" srcId="{717ECC8B-6813-4A27-9DC1-A0349E570257}" destId="{90932CD4-98AF-4D20-B3A5-3F4217DAB33C}" srcOrd="0" destOrd="0" parTransId="{D4A14047-4231-4EAE-82B4-884A078437F6}" sibTransId="{678DBBEA-15F8-4CEC-BE62-3B0B23BED2F8}"/>
    <dgm:cxn modelId="{952D29FA-01DB-4FF4-B950-87A63CC80292}" srcId="{D67F9A5A-5E88-44A1-939C-135CE3AF4041}" destId="{F2356AF9-BEEF-4B44-8D11-6960D17AF916}" srcOrd="1" destOrd="0" parTransId="{30965C44-C041-42DC-BEED-B4376C8E6B72}" sibTransId="{B601354C-9FC2-4283-877B-28B5BED5CBBC}"/>
    <dgm:cxn modelId="{387F9B62-BA72-46DA-93B7-D805807BFC03}" srcId="{717ECC8B-6813-4A27-9DC1-A0349E570257}" destId="{275C1FC4-3E17-4EB7-B629-3B18A2C22A68}" srcOrd="5" destOrd="0" parTransId="{47FF5181-689E-402C-BA5E-A7F036D82964}" sibTransId="{BD9B50B6-A249-4B4C-A504-6B8A26A3E4B7}"/>
    <dgm:cxn modelId="{B92E7B5B-5ADE-4591-92A7-719245B2AD0F}" type="presParOf" srcId="{1DEF4F99-0D10-4E54-A0BF-F9524F830250}" destId="{2FA5CF8F-DEE2-445C-8A9F-A5B19AA1EC66}" srcOrd="0" destOrd="0" presId="urn:microsoft.com/office/officeart/2005/8/layout/list1"/>
    <dgm:cxn modelId="{E8ACEB03-8C11-48E0-9F89-798762753AAF}" type="presParOf" srcId="{2FA5CF8F-DEE2-445C-8A9F-A5B19AA1EC66}" destId="{545F5493-E5D3-45CD-9407-AD3146FF5B66}" srcOrd="0" destOrd="0" presId="urn:microsoft.com/office/officeart/2005/8/layout/list1"/>
    <dgm:cxn modelId="{F7976DD7-6148-49DF-AE30-6575657687AC}" type="presParOf" srcId="{2FA5CF8F-DEE2-445C-8A9F-A5B19AA1EC66}" destId="{E6E34545-7A70-45F5-AF30-5300FEAF0CB4}" srcOrd="1" destOrd="0" presId="urn:microsoft.com/office/officeart/2005/8/layout/list1"/>
    <dgm:cxn modelId="{46349CF9-996B-4C69-8A51-D2A91B59E194}" type="presParOf" srcId="{1DEF4F99-0D10-4E54-A0BF-F9524F830250}" destId="{EF9B6E2C-EF0B-4D48-9074-55D69A90DE21}" srcOrd="1" destOrd="0" presId="urn:microsoft.com/office/officeart/2005/8/layout/list1"/>
    <dgm:cxn modelId="{17DBD6AA-7E6F-4A9B-B67D-F3A8A7577728}" type="presParOf" srcId="{1DEF4F99-0D10-4E54-A0BF-F9524F830250}" destId="{35D5CD7D-3A20-4EB8-B442-65E54571D39E}" srcOrd="2" destOrd="0" presId="urn:microsoft.com/office/officeart/2005/8/layout/list1"/>
    <dgm:cxn modelId="{1C37A869-82FE-4B80-BDF5-6ED5C6B5066A}" type="presParOf" srcId="{1DEF4F99-0D10-4E54-A0BF-F9524F830250}" destId="{AB83843B-19AA-4C45-ACB9-0772D543D28B}" srcOrd="3" destOrd="0" presId="urn:microsoft.com/office/officeart/2005/8/layout/list1"/>
    <dgm:cxn modelId="{01F7941A-C1DC-400C-A22E-08098C557A99}" type="presParOf" srcId="{1DEF4F99-0D10-4E54-A0BF-F9524F830250}" destId="{55019F05-739C-499C-85AD-7269005767A1}" srcOrd="4" destOrd="0" presId="urn:microsoft.com/office/officeart/2005/8/layout/list1"/>
    <dgm:cxn modelId="{2A2751FE-484A-4CCB-809E-3E2E4FA81898}" type="presParOf" srcId="{55019F05-739C-499C-85AD-7269005767A1}" destId="{8FFBFEAB-4C29-43E1-9195-E019257224C0}" srcOrd="0" destOrd="0" presId="urn:microsoft.com/office/officeart/2005/8/layout/list1"/>
    <dgm:cxn modelId="{2F3F4E5E-DAC1-49BB-AC8A-895AC27E1926}" type="presParOf" srcId="{55019F05-739C-499C-85AD-7269005767A1}" destId="{C4175353-957F-4B0A-882A-9D65932C4C45}" srcOrd="1" destOrd="0" presId="urn:microsoft.com/office/officeart/2005/8/layout/list1"/>
    <dgm:cxn modelId="{1B856F6E-8823-4D12-B9E4-88AFAFA9D6A0}" type="presParOf" srcId="{1DEF4F99-0D10-4E54-A0BF-F9524F830250}" destId="{0862C50F-306A-4E6B-A23B-07B15ECDE9F7}" srcOrd="5" destOrd="0" presId="urn:microsoft.com/office/officeart/2005/8/layout/list1"/>
    <dgm:cxn modelId="{F57112E8-3454-4083-BBBD-30CE65B2B5F0}" type="presParOf" srcId="{1DEF4F99-0D10-4E54-A0BF-F9524F830250}" destId="{BEC4ABD6-0E89-47BE-B95E-5D5D71B73DA1}" srcOrd="6" destOrd="0" presId="urn:microsoft.com/office/officeart/2005/8/layout/list1"/>
    <dgm:cxn modelId="{01416A79-E4D5-41EF-ACDC-5AC2D0AD3051}" type="presParOf" srcId="{1DEF4F99-0D10-4E54-A0BF-F9524F830250}" destId="{BEB87FCE-F499-4870-8AB0-98F9F509D50E}" srcOrd="7" destOrd="0" presId="urn:microsoft.com/office/officeart/2005/8/layout/list1"/>
    <dgm:cxn modelId="{01CEC07E-EA12-4AAE-A419-B39768B125E1}" type="presParOf" srcId="{1DEF4F99-0D10-4E54-A0BF-F9524F830250}" destId="{3AA816E6-3A8D-45C3-B0AF-DCE6C0F7D52F}" srcOrd="8" destOrd="0" presId="urn:microsoft.com/office/officeart/2005/8/layout/list1"/>
    <dgm:cxn modelId="{06E5AD61-B0EB-4D06-8DC0-4AA1274D8594}" type="presParOf" srcId="{3AA816E6-3A8D-45C3-B0AF-DCE6C0F7D52F}" destId="{9702987D-0E97-487C-8CCC-50D92DF3BD3E}" srcOrd="0" destOrd="0" presId="urn:microsoft.com/office/officeart/2005/8/layout/list1"/>
    <dgm:cxn modelId="{A0F5DAE7-CD07-4E4B-93D6-AE03007B0430}" type="presParOf" srcId="{3AA816E6-3A8D-45C3-B0AF-DCE6C0F7D52F}" destId="{2F94551E-AD58-4389-A867-ACC7E854241D}" srcOrd="1" destOrd="0" presId="urn:microsoft.com/office/officeart/2005/8/layout/list1"/>
    <dgm:cxn modelId="{EDE8B232-42AD-4977-9D1E-598A12AC400A}" type="presParOf" srcId="{1DEF4F99-0D10-4E54-A0BF-F9524F830250}" destId="{0B0D6F0B-4DEB-4B88-B257-B59830E60C59}" srcOrd="9" destOrd="0" presId="urn:microsoft.com/office/officeart/2005/8/layout/list1"/>
    <dgm:cxn modelId="{82CD3D1B-37A6-4680-8129-A69343179964}" type="presParOf" srcId="{1DEF4F99-0D10-4E54-A0BF-F9524F830250}" destId="{3BC1BA34-3099-48F7-ADCC-C59CA8F05523}" srcOrd="10" destOrd="0" presId="urn:microsoft.com/office/officeart/2005/8/layout/list1"/>
    <dgm:cxn modelId="{B43CF5A9-F8FF-4875-A8BC-B3DC3FB1FE9E}" type="presParOf" srcId="{1DEF4F99-0D10-4E54-A0BF-F9524F830250}" destId="{ED98C6C5-10F9-43FD-B588-4DD8CA453F1D}" srcOrd="11" destOrd="0" presId="urn:microsoft.com/office/officeart/2005/8/layout/list1"/>
    <dgm:cxn modelId="{C979183C-5784-4681-AAF3-723BC8467EF2}" type="presParOf" srcId="{1DEF4F99-0D10-4E54-A0BF-F9524F830250}" destId="{15A1C469-7C3A-4EBC-B23A-4CE4DD373580}" srcOrd="12" destOrd="0" presId="urn:microsoft.com/office/officeart/2005/8/layout/list1"/>
    <dgm:cxn modelId="{0231346E-9A4A-488D-89F0-4555CD99AB83}" type="presParOf" srcId="{15A1C469-7C3A-4EBC-B23A-4CE4DD373580}" destId="{3B8B29A2-8F27-4747-815F-4C192BC39EFB}" srcOrd="0" destOrd="0" presId="urn:microsoft.com/office/officeart/2005/8/layout/list1"/>
    <dgm:cxn modelId="{91953E05-6FDF-4877-AF56-909113686303}" type="presParOf" srcId="{15A1C469-7C3A-4EBC-B23A-4CE4DD373580}" destId="{514BAA5A-25A1-407B-9E98-4F585743FC17}" srcOrd="1" destOrd="0" presId="urn:microsoft.com/office/officeart/2005/8/layout/list1"/>
    <dgm:cxn modelId="{C8DCD7F2-9AF5-4F5A-818F-D4ADB4C36404}" type="presParOf" srcId="{1DEF4F99-0D10-4E54-A0BF-F9524F830250}" destId="{584AD0D6-0EBE-40B3-A5EF-BEFBE1FDD233}" srcOrd="13" destOrd="0" presId="urn:microsoft.com/office/officeart/2005/8/layout/list1"/>
    <dgm:cxn modelId="{7D69004A-BC61-402A-8697-6BD49A4D735A}" type="presParOf" srcId="{1DEF4F99-0D10-4E54-A0BF-F9524F830250}" destId="{06ACE6F8-0FA9-44AE-BA37-8718AB57D422}" srcOrd="14" destOrd="0" presId="urn:microsoft.com/office/officeart/2005/8/layout/list1"/>
    <dgm:cxn modelId="{344334B0-32A4-4349-9119-025C6A897213}" type="presParOf" srcId="{1DEF4F99-0D10-4E54-A0BF-F9524F830250}" destId="{728F8364-6B69-4FB1-8CEE-FE0453B48F74}" srcOrd="15" destOrd="0" presId="urn:microsoft.com/office/officeart/2005/8/layout/list1"/>
    <dgm:cxn modelId="{80FAF5EF-4AD2-4C11-AFAE-1819C2CDB93F}" type="presParOf" srcId="{1DEF4F99-0D10-4E54-A0BF-F9524F830250}" destId="{2FED5211-A15F-4937-8626-A219A5AF8F6A}" srcOrd="16" destOrd="0" presId="urn:microsoft.com/office/officeart/2005/8/layout/list1"/>
    <dgm:cxn modelId="{E671E8AC-AC5E-43D9-BED2-992CC14D383F}" type="presParOf" srcId="{2FED5211-A15F-4937-8626-A219A5AF8F6A}" destId="{96E24B0A-8F37-4257-B7B3-645FB1DA6A85}" srcOrd="0" destOrd="0" presId="urn:microsoft.com/office/officeart/2005/8/layout/list1"/>
    <dgm:cxn modelId="{5B7DC432-0D72-4887-B946-6736936DD655}" type="presParOf" srcId="{2FED5211-A15F-4937-8626-A219A5AF8F6A}" destId="{72C2FA48-4513-4CD5-8267-CAFA222E040F}" srcOrd="1" destOrd="0" presId="urn:microsoft.com/office/officeart/2005/8/layout/list1"/>
    <dgm:cxn modelId="{45EAE907-CAB6-4750-95C2-EF481439338A}" type="presParOf" srcId="{1DEF4F99-0D10-4E54-A0BF-F9524F830250}" destId="{C5574D53-E5B2-4961-BC19-B9AEEE8D8A74}" srcOrd="17" destOrd="0" presId="urn:microsoft.com/office/officeart/2005/8/layout/list1"/>
    <dgm:cxn modelId="{4B2A3E9B-B5B4-4EDB-82EA-341335609F09}" type="presParOf" srcId="{1DEF4F99-0D10-4E54-A0BF-F9524F830250}" destId="{4EFCDA67-9C44-44DD-A910-D775D3C6B542}" srcOrd="18" destOrd="0" presId="urn:microsoft.com/office/officeart/2005/8/layout/list1"/>
    <dgm:cxn modelId="{B816D2F2-A1B1-4E7F-9104-AB9EA0D45B23}" type="presParOf" srcId="{1DEF4F99-0D10-4E54-A0BF-F9524F830250}" destId="{44903029-1598-44FF-927B-4388D5E8763C}" srcOrd="19" destOrd="0" presId="urn:microsoft.com/office/officeart/2005/8/layout/list1"/>
    <dgm:cxn modelId="{A29166E1-DE26-44A4-8B03-06E6518791E9}" type="presParOf" srcId="{1DEF4F99-0D10-4E54-A0BF-F9524F830250}" destId="{86EE8AB6-545B-4020-AEC6-19F34F74D919}" srcOrd="20" destOrd="0" presId="urn:microsoft.com/office/officeart/2005/8/layout/list1"/>
    <dgm:cxn modelId="{EF2ED5C2-3848-4BB9-8CC4-6BCAC350D4EC}" type="presParOf" srcId="{86EE8AB6-545B-4020-AEC6-19F34F74D919}" destId="{C7C02459-324F-4CBA-B9A7-D10266029FAC}" srcOrd="0" destOrd="0" presId="urn:microsoft.com/office/officeart/2005/8/layout/list1"/>
    <dgm:cxn modelId="{3338D99A-2155-4494-8EBF-459ED548B678}" type="presParOf" srcId="{86EE8AB6-545B-4020-AEC6-19F34F74D919}" destId="{4E9F94DE-8CF1-4FE7-9A6B-53CB416743FC}" srcOrd="1" destOrd="0" presId="urn:microsoft.com/office/officeart/2005/8/layout/list1"/>
    <dgm:cxn modelId="{74414219-6157-408A-822A-EA07B7C194AB}" type="presParOf" srcId="{1DEF4F99-0D10-4E54-A0BF-F9524F830250}" destId="{DD8C64AD-F0AB-4DAF-BD3D-6848B3517AE4}" srcOrd="21" destOrd="0" presId="urn:microsoft.com/office/officeart/2005/8/layout/list1"/>
    <dgm:cxn modelId="{F5D3B5F4-CEBB-433C-B2AD-3803B8716A8B}" type="presParOf" srcId="{1DEF4F99-0D10-4E54-A0BF-F9524F830250}" destId="{FA8C06B1-BAA1-4827-A601-D14B18466DB6}" srcOrd="22" destOrd="0" presId="urn:microsoft.com/office/officeart/2005/8/layout/list1"/>
    <dgm:cxn modelId="{A803F878-728E-4CFA-B8B2-00668EE36383}" type="presParOf" srcId="{1DEF4F99-0D10-4E54-A0BF-F9524F830250}" destId="{D62CC520-BE4A-45F5-85CF-6F1FF6479E7B}" srcOrd="23" destOrd="0" presId="urn:microsoft.com/office/officeart/2005/8/layout/list1"/>
    <dgm:cxn modelId="{DCEE19FE-0ACA-4954-A721-ED112609D70A}" type="presParOf" srcId="{1DEF4F99-0D10-4E54-A0BF-F9524F830250}" destId="{0ACFCED0-6DBF-47C9-BEFF-1C22DE7DB9F3}" srcOrd="24" destOrd="0" presId="urn:microsoft.com/office/officeart/2005/8/layout/list1"/>
    <dgm:cxn modelId="{1C2278A3-6134-4178-B80E-247B003D802F}" type="presParOf" srcId="{0ACFCED0-6DBF-47C9-BEFF-1C22DE7DB9F3}" destId="{A03587EF-2C72-4284-B879-B71BE0640BA4}" srcOrd="0" destOrd="0" presId="urn:microsoft.com/office/officeart/2005/8/layout/list1"/>
    <dgm:cxn modelId="{DEB5A732-F0EC-470D-B8C4-2D7C207DFA1E}" type="presParOf" srcId="{0ACFCED0-6DBF-47C9-BEFF-1C22DE7DB9F3}" destId="{0BB363C2-1000-4D63-89E1-75C121258685}" srcOrd="1" destOrd="0" presId="urn:microsoft.com/office/officeart/2005/8/layout/list1"/>
    <dgm:cxn modelId="{6945B4C4-0BC5-42FB-BFA7-FABB3283E796}" type="presParOf" srcId="{1DEF4F99-0D10-4E54-A0BF-F9524F830250}" destId="{C9B2B30D-0668-43BB-8909-432202A9EDB4}" srcOrd="25" destOrd="0" presId="urn:microsoft.com/office/officeart/2005/8/layout/list1"/>
    <dgm:cxn modelId="{84F08611-1361-4090-B1A3-46606F5DDDE0}" type="presParOf" srcId="{1DEF4F99-0D10-4E54-A0BF-F9524F830250}" destId="{77262FC2-D56C-47EC-A6D3-390D5DF0E708}" srcOrd="26" destOrd="0" presId="urn:microsoft.com/office/officeart/2005/8/layout/list1"/>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5D5CD7D-3A20-4EB8-B442-65E54571D39E}">
      <dsp:nvSpPr>
        <dsp:cNvPr id="0" name=""/>
        <dsp:cNvSpPr/>
      </dsp:nvSpPr>
      <dsp:spPr>
        <a:xfrm>
          <a:off x="0" y="494860"/>
          <a:ext cx="3723005" cy="1071000"/>
        </a:xfrm>
        <a:prstGeom prst="rect">
          <a:avLst/>
        </a:prstGeom>
        <a:solidFill>
          <a:schemeClr val="lt1">
            <a:alpha val="90000"/>
            <a:hueOff val="0"/>
            <a:satOff val="0"/>
            <a:lumOff val="0"/>
            <a:alphaOff val="0"/>
          </a:schemeClr>
        </a:solidFill>
        <a:ln w="12700" cap="flat" cmpd="sng" algn="ctr">
          <a:solidFill>
            <a:schemeClr val="accent5">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88947" tIns="312420" rIns="288947" bIns="64008" numCol="1" spcCol="1270" anchor="t" anchorCtr="0">
          <a:noAutofit/>
        </a:bodyPr>
        <a:lstStyle/>
        <a:p>
          <a:pPr marL="57150" lvl="1" indent="-57150" algn="l" defTabSz="400050">
            <a:lnSpc>
              <a:spcPct val="90000"/>
            </a:lnSpc>
            <a:spcBef>
              <a:spcPct val="0"/>
            </a:spcBef>
            <a:spcAft>
              <a:spcPct val="15000"/>
            </a:spcAft>
            <a:buChar char="••"/>
          </a:pPr>
          <a:r>
            <a:rPr lang="es-CO" sz="900" kern="1200"/>
            <a:t>Definición de la unidad objeto de ordenación forestal</a:t>
          </a:r>
        </a:p>
        <a:p>
          <a:pPr marL="57150" lvl="1" indent="-57150" algn="l" defTabSz="400050">
            <a:lnSpc>
              <a:spcPct val="90000"/>
            </a:lnSpc>
            <a:spcBef>
              <a:spcPct val="0"/>
            </a:spcBef>
            <a:spcAft>
              <a:spcPct val="15000"/>
            </a:spcAft>
            <a:buChar char="••"/>
          </a:pPr>
          <a:r>
            <a:rPr lang="es-CO" sz="900" kern="1200"/>
            <a:t>Asignación de recursos</a:t>
          </a:r>
        </a:p>
        <a:p>
          <a:pPr marL="57150" lvl="1" indent="-57150" algn="l" defTabSz="400050">
            <a:lnSpc>
              <a:spcPct val="90000"/>
            </a:lnSpc>
            <a:spcBef>
              <a:spcPct val="0"/>
            </a:spcBef>
            <a:spcAft>
              <a:spcPct val="15000"/>
            </a:spcAft>
            <a:buChar char="••"/>
          </a:pPr>
          <a:r>
            <a:rPr lang="es-CO" sz="900" kern="1200"/>
            <a:t>Inicio del proceso pre y contractual</a:t>
          </a:r>
        </a:p>
        <a:p>
          <a:pPr marL="57150" lvl="1" indent="-57150" algn="l" defTabSz="400050">
            <a:lnSpc>
              <a:spcPct val="90000"/>
            </a:lnSpc>
            <a:spcBef>
              <a:spcPct val="0"/>
            </a:spcBef>
            <a:spcAft>
              <a:spcPct val="15000"/>
            </a:spcAft>
            <a:buChar char="••"/>
          </a:pPr>
          <a:r>
            <a:rPr lang="es-CO" sz="900" kern="1200"/>
            <a:t>Conformación del equipo de trabajo  </a:t>
          </a:r>
        </a:p>
      </dsp:txBody>
      <dsp:txXfrm>
        <a:off x="0" y="494860"/>
        <a:ext cx="3723005" cy="1071000"/>
      </dsp:txXfrm>
    </dsp:sp>
    <dsp:sp modelId="{E6E34545-7A70-45F5-AF30-5300FEAF0CB4}">
      <dsp:nvSpPr>
        <dsp:cNvPr id="0" name=""/>
        <dsp:cNvSpPr/>
      </dsp:nvSpPr>
      <dsp:spPr>
        <a:xfrm>
          <a:off x="186150" y="127773"/>
          <a:ext cx="2606103" cy="590400"/>
        </a:xfrm>
        <a:prstGeom prst="roundRect">
          <a:avLst/>
        </a:prstGeom>
        <a:solidFill>
          <a:schemeClr val="accent5">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8505" tIns="0" rIns="98505" bIns="0" numCol="1" spcCol="1270" anchor="ctr" anchorCtr="0">
          <a:noAutofit/>
        </a:bodyPr>
        <a:lstStyle/>
        <a:p>
          <a:pPr lvl="0" algn="l" defTabSz="400050">
            <a:lnSpc>
              <a:spcPct val="90000"/>
            </a:lnSpc>
            <a:spcBef>
              <a:spcPct val="0"/>
            </a:spcBef>
            <a:spcAft>
              <a:spcPct val="35000"/>
            </a:spcAft>
          </a:pPr>
          <a:r>
            <a:rPr lang="es-CO" sz="900" b="1" kern="1200"/>
            <a:t>1. FASE DE PREPARACION</a:t>
          </a:r>
        </a:p>
      </dsp:txBody>
      <dsp:txXfrm>
        <a:off x="214971" y="156594"/>
        <a:ext cx="2548461" cy="532758"/>
      </dsp:txXfrm>
    </dsp:sp>
    <dsp:sp modelId="{BEC4ABD6-0E89-47BE-B95E-5D5D71B73DA1}">
      <dsp:nvSpPr>
        <dsp:cNvPr id="0" name=""/>
        <dsp:cNvSpPr/>
      </dsp:nvSpPr>
      <dsp:spPr>
        <a:xfrm>
          <a:off x="0" y="1969060"/>
          <a:ext cx="3723005" cy="1197000"/>
        </a:xfrm>
        <a:prstGeom prst="rect">
          <a:avLst/>
        </a:prstGeom>
        <a:solidFill>
          <a:schemeClr val="lt1">
            <a:alpha val="90000"/>
            <a:hueOff val="0"/>
            <a:satOff val="0"/>
            <a:lumOff val="0"/>
            <a:alphaOff val="0"/>
          </a:schemeClr>
        </a:solidFill>
        <a:ln w="12700" cap="flat" cmpd="sng" algn="ctr">
          <a:solidFill>
            <a:schemeClr val="accent5">
              <a:hueOff val="-1225557"/>
              <a:satOff val="-1705"/>
              <a:lumOff val="-654"/>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88947" tIns="312420" rIns="288947" bIns="64008" numCol="1" spcCol="1270" anchor="t" anchorCtr="0">
          <a:noAutofit/>
        </a:bodyPr>
        <a:lstStyle/>
        <a:p>
          <a:pPr marL="57150" lvl="1" indent="-57150" algn="l" defTabSz="400050">
            <a:lnSpc>
              <a:spcPct val="90000"/>
            </a:lnSpc>
            <a:spcBef>
              <a:spcPct val="0"/>
            </a:spcBef>
            <a:spcAft>
              <a:spcPct val="15000"/>
            </a:spcAft>
            <a:buChar char="••"/>
          </a:pPr>
          <a:r>
            <a:rPr lang="es-CO" sz="900" kern="1200"/>
            <a:t>Consulta, validación y digitalización de información secundaria</a:t>
          </a:r>
        </a:p>
        <a:p>
          <a:pPr marL="57150" lvl="1" indent="-57150" algn="l" defTabSz="400050">
            <a:lnSpc>
              <a:spcPct val="90000"/>
            </a:lnSpc>
            <a:spcBef>
              <a:spcPct val="0"/>
            </a:spcBef>
            <a:spcAft>
              <a:spcPct val="15000"/>
            </a:spcAft>
            <a:buChar char="••"/>
          </a:pPr>
          <a:r>
            <a:rPr lang="es-CO" sz="900" kern="1200"/>
            <a:t>Procesamiento e interpretación de imágenes satelitales</a:t>
          </a:r>
        </a:p>
        <a:p>
          <a:pPr marL="57150" lvl="1" indent="-57150" algn="l" defTabSz="400050">
            <a:lnSpc>
              <a:spcPct val="90000"/>
            </a:lnSpc>
            <a:spcBef>
              <a:spcPct val="0"/>
            </a:spcBef>
            <a:spcAft>
              <a:spcPct val="15000"/>
            </a:spcAft>
            <a:buChar char="••"/>
          </a:pPr>
          <a:r>
            <a:rPr lang="es-CO" sz="900" kern="1200"/>
            <a:t>Generación de información cartográfica preliminar</a:t>
          </a:r>
        </a:p>
        <a:p>
          <a:pPr marL="57150" lvl="1" indent="-57150" algn="l" defTabSz="400050">
            <a:lnSpc>
              <a:spcPct val="90000"/>
            </a:lnSpc>
            <a:spcBef>
              <a:spcPct val="0"/>
            </a:spcBef>
            <a:spcAft>
              <a:spcPct val="15000"/>
            </a:spcAft>
            <a:buChar char="••"/>
          </a:pPr>
          <a:r>
            <a:rPr lang="es-CO" sz="900" kern="1200"/>
            <a:t>Definición de metodología para levantamiento de información primaria</a:t>
          </a:r>
        </a:p>
      </dsp:txBody>
      <dsp:txXfrm>
        <a:off x="0" y="1969060"/>
        <a:ext cx="3723005" cy="1197000"/>
      </dsp:txXfrm>
    </dsp:sp>
    <dsp:sp modelId="{C4175353-957F-4B0A-882A-9D65932C4C45}">
      <dsp:nvSpPr>
        <dsp:cNvPr id="0" name=""/>
        <dsp:cNvSpPr/>
      </dsp:nvSpPr>
      <dsp:spPr>
        <a:xfrm>
          <a:off x="200779" y="1656892"/>
          <a:ext cx="2606103" cy="590400"/>
        </a:xfrm>
        <a:prstGeom prst="roundRect">
          <a:avLst/>
        </a:prstGeom>
        <a:solidFill>
          <a:schemeClr val="accent5">
            <a:hueOff val="-1225557"/>
            <a:satOff val="-1705"/>
            <a:lumOff val="-654"/>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8505" tIns="0" rIns="98505" bIns="0" numCol="1" spcCol="1270" anchor="ctr" anchorCtr="0">
          <a:noAutofit/>
        </a:bodyPr>
        <a:lstStyle/>
        <a:p>
          <a:pPr lvl="0" algn="l" defTabSz="400050">
            <a:lnSpc>
              <a:spcPct val="90000"/>
            </a:lnSpc>
            <a:spcBef>
              <a:spcPct val="0"/>
            </a:spcBef>
            <a:spcAft>
              <a:spcPct val="35000"/>
            </a:spcAft>
          </a:pPr>
          <a:r>
            <a:rPr lang="es-CO" sz="900" b="1" kern="1200"/>
            <a:t>2. FASE DE APRESTAMIENTO</a:t>
          </a:r>
        </a:p>
      </dsp:txBody>
      <dsp:txXfrm>
        <a:off x="229600" y="1685713"/>
        <a:ext cx="2548461" cy="532758"/>
      </dsp:txXfrm>
    </dsp:sp>
    <dsp:sp modelId="{3BC1BA34-3099-48F7-ADCC-C59CA8F05523}">
      <dsp:nvSpPr>
        <dsp:cNvPr id="0" name=""/>
        <dsp:cNvSpPr/>
      </dsp:nvSpPr>
      <dsp:spPr>
        <a:xfrm>
          <a:off x="0" y="3569259"/>
          <a:ext cx="3723005" cy="1383260"/>
        </a:xfrm>
        <a:prstGeom prst="rect">
          <a:avLst/>
        </a:prstGeom>
        <a:solidFill>
          <a:schemeClr val="lt1">
            <a:alpha val="90000"/>
            <a:hueOff val="0"/>
            <a:satOff val="0"/>
            <a:lumOff val="0"/>
            <a:alphaOff val="0"/>
          </a:schemeClr>
        </a:solidFill>
        <a:ln w="12700" cap="flat" cmpd="sng" algn="ctr">
          <a:solidFill>
            <a:schemeClr val="accent5">
              <a:hueOff val="-2451115"/>
              <a:satOff val="-3409"/>
              <a:lumOff val="-1307"/>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88947" tIns="312420" rIns="288947" bIns="64008" numCol="1" spcCol="1270" anchor="t" anchorCtr="0">
          <a:noAutofit/>
        </a:bodyPr>
        <a:lstStyle/>
        <a:p>
          <a:pPr marL="57150" lvl="1" indent="-57150" algn="l" defTabSz="400050">
            <a:lnSpc>
              <a:spcPct val="90000"/>
            </a:lnSpc>
            <a:spcBef>
              <a:spcPct val="0"/>
            </a:spcBef>
            <a:spcAft>
              <a:spcPct val="15000"/>
            </a:spcAft>
            <a:buChar char="••"/>
          </a:pPr>
          <a:r>
            <a:rPr lang="es-CO" sz="900" kern="1200"/>
            <a:t>Socialización y acuerdos con actores regionales y locales</a:t>
          </a:r>
        </a:p>
        <a:p>
          <a:pPr marL="57150" lvl="1" indent="-57150" algn="l" defTabSz="400050">
            <a:lnSpc>
              <a:spcPct val="90000"/>
            </a:lnSpc>
            <a:spcBef>
              <a:spcPct val="0"/>
            </a:spcBef>
            <a:spcAft>
              <a:spcPct val="15000"/>
            </a:spcAft>
            <a:buChar char="••"/>
          </a:pPr>
          <a:r>
            <a:rPr lang="es-CO" sz="900" kern="1200"/>
            <a:t>Chequeo cartografía en campo</a:t>
          </a:r>
        </a:p>
        <a:p>
          <a:pPr marL="57150" lvl="1" indent="-57150" algn="l" defTabSz="400050">
            <a:lnSpc>
              <a:spcPct val="90000"/>
            </a:lnSpc>
            <a:spcBef>
              <a:spcPct val="0"/>
            </a:spcBef>
            <a:spcAft>
              <a:spcPct val="15000"/>
            </a:spcAft>
            <a:buChar char="••"/>
          </a:pPr>
          <a:r>
            <a:rPr lang="es-CO" sz="900" kern="1200"/>
            <a:t>Desarrollo del premuestreo, ajuste y realización del inventario forestal</a:t>
          </a:r>
        </a:p>
        <a:p>
          <a:pPr marL="57150" lvl="1" indent="-57150" algn="l" defTabSz="400050">
            <a:lnSpc>
              <a:spcPct val="90000"/>
            </a:lnSpc>
            <a:spcBef>
              <a:spcPct val="0"/>
            </a:spcBef>
            <a:spcAft>
              <a:spcPct val="15000"/>
            </a:spcAft>
            <a:buChar char="••"/>
          </a:pPr>
          <a:r>
            <a:rPr lang="es-CO" sz="900" kern="1200"/>
            <a:t>Desarrollo del componente fauna</a:t>
          </a:r>
        </a:p>
        <a:p>
          <a:pPr marL="57150" lvl="1" indent="-57150" algn="l" defTabSz="400050">
            <a:lnSpc>
              <a:spcPct val="90000"/>
            </a:lnSpc>
            <a:spcBef>
              <a:spcPct val="0"/>
            </a:spcBef>
            <a:spcAft>
              <a:spcPct val="15000"/>
            </a:spcAft>
            <a:buChar char="••"/>
          </a:pPr>
          <a:r>
            <a:rPr lang="es-CO" sz="900" kern="1200"/>
            <a:t>Desarrollo del componente socieconomico</a:t>
          </a:r>
        </a:p>
        <a:p>
          <a:pPr marL="57150" lvl="1" indent="-57150" algn="l" defTabSz="400050">
            <a:lnSpc>
              <a:spcPct val="90000"/>
            </a:lnSpc>
            <a:spcBef>
              <a:spcPct val="0"/>
            </a:spcBef>
            <a:spcAft>
              <a:spcPct val="15000"/>
            </a:spcAft>
            <a:buChar char="••"/>
          </a:pPr>
          <a:r>
            <a:rPr lang="es-CO" sz="900" kern="1200"/>
            <a:t>Desarrollo del componente suelos</a:t>
          </a:r>
        </a:p>
      </dsp:txBody>
      <dsp:txXfrm>
        <a:off x="0" y="3569259"/>
        <a:ext cx="3723005" cy="1383260"/>
      </dsp:txXfrm>
    </dsp:sp>
    <dsp:sp modelId="{2F94551E-AD58-4389-A867-ACC7E854241D}">
      <dsp:nvSpPr>
        <dsp:cNvPr id="0" name=""/>
        <dsp:cNvSpPr/>
      </dsp:nvSpPr>
      <dsp:spPr>
        <a:xfrm>
          <a:off x="178834" y="3257092"/>
          <a:ext cx="2606103" cy="590400"/>
        </a:xfrm>
        <a:prstGeom prst="roundRect">
          <a:avLst/>
        </a:prstGeom>
        <a:solidFill>
          <a:schemeClr val="accent5">
            <a:hueOff val="-2451115"/>
            <a:satOff val="-3409"/>
            <a:lumOff val="-1307"/>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8505" tIns="0" rIns="98505" bIns="0" numCol="1" spcCol="1270" anchor="ctr" anchorCtr="0">
          <a:noAutofit/>
        </a:bodyPr>
        <a:lstStyle/>
        <a:p>
          <a:pPr lvl="0" algn="l" defTabSz="400050">
            <a:lnSpc>
              <a:spcPct val="90000"/>
            </a:lnSpc>
            <a:spcBef>
              <a:spcPct val="0"/>
            </a:spcBef>
            <a:spcAft>
              <a:spcPct val="35000"/>
            </a:spcAft>
          </a:pPr>
          <a:r>
            <a:rPr lang="es-CO" sz="900" b="1" kern="1200"/>
            <a:t>3. FASE  LOGISTICA Y OPERATIVA</a:t>
          </a:r>
        </a:p>
      </dsp:txBody>
      <dsp:txXfrm>
        <a:off x="207655" y="3285913"/>
        <a:ext cx="2548461" cy="532758"/>
      </dsp:txXfrm>
    </dsp:sp>
    <dsp:sp modelId="{06ACE6F8-0FA9-44AE-BA37-8718AB57D422}">
      <dsp:nvSpPr>
        <dsp:cNvPr id="0" name=""/>
        <dsp:cNvSpPr/>
      </dsp:nvSpPr>
      <dsp:spPr>
        <a:xfrm>
          <a:off x="0" y="5398668"/>
          <a:ext cx="3723005" cy="1197000"/>
        </a:xfrm>
        <a:prstGeom prst="rect">
          <a:avLst/>
        </a:prstGeom>
        <a:solidFill>
          <a:schemeClr val="lt1">
            <a:alpha val="90000"/>
            <a:hueOff val="0"/>
            <a:satOff val="0"/>
            <a:lumOff val="0"/>
            <a:alphaOff val="0"/>
          </a:schemeClr>
        </a:solidFill>
        <a:ln w="12700" cap="flat" cmpd="sng" algn="ctr">
          <a:solidFill>
            <a:schemeClr val="accent5">
              <a:hueOff val="-3676672"/>
              <a:satOff val="-5114"/>
              <a:lumOff val="-1961"/>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88947" tIns="312420" rIns="288947" bIns="64008" numCol="1" spcCol="1270" anchor="t" anchorCtr="0">
          <a:noAutofit/>
        </a:bodyPr>
        <a:lstStyle/>
        <a:p>
          <a:pPr marL="57150" lvl="1" indent="-57150" algn="l" defTabSz="400050">
            <a:lnSpc>
              <a:spcPct val="90000"/>
            </a:lnSpc>
            <a:spcBef>
              <a:spcPct val="0"/>
            </a:spcBef>
            <a:spcAft>
              <a:spcPct val="15000"/>
            </a:spcAft>
            <a:buChar char="••"/>
          </a:pPr>
          <a:r>
            <a:rPr lang="es-CO" sz="900" kern="1200"/>
            <a:t>Procesamiento y análisis de información primaria</a:t>
          </a:r>
        </a:p>
        <a:p>
          <a:pPr marL="57150" lvl="1" indent="-57150" algn="l" defTabSz="400050">
            <a:lnSpc>
              <a:spcPct val="90000"/>
            </a:lnSpc>
            <a:spcBef>
              <a:spcPct val="0"/>
            </a:spcBef>
            <a:spcAft>
              <a:spcPct val="15000"/>
            </a:spcAft>
            <a:buChar char="••"/>
          </a:pPr>
          <a:r>
            <a:rPr lang="es-CO" sz="900" kern="1200"/>
            <a:t>Propuesta zonificación inicial de la UOF</a:t>
          </a:r>
        </a:p>
        <a:p>
          <a:pPr marL="57150" lvl="1" indent="-57150" algn="l" defTabSz="400050">
            <a:lnSpc>
              <a:spcPct val="90000"/>
            </a:lnSpc>
            <a:spcBef>
              <a:spcPct val="0"/>
            </a:spcBef>
            <a:spcAft>
              <a:spcPct val="15000"/>
            </a:spcAft>
            <a:buChar char="••"/>
          </a:pPr>
          <a:r>
            <a:rPr lang="es-CO" sz="900" kern="1200"/>
            <a:t>Propuesta de zonificación de las áreas forestales que componen la UOF</a:t>
          </a:r>
        </a:p>
        <a:p>
          <a:pPr marL="57150" lvl="1" indent="-57150" algn="l" defTabSz="400050">
            <a:lnSpc>
              <a:spcPct val="90000"/>
            </a:lnSpc>
            <a:spcBef>
              <a:spcPct val="0"/>
            </a:spcBef>
            <a:spcAft>
              <a:spcPct val="15000"/>
            </a:spcAft>
            <a:buChar char="••"/>
          </a:pPr>
          <a:r>
            <a:rPr lang="es-CO" sz="900" kern="1200"/>
            <a:t> Formulación del POF para cada área forestal de la UOF</a:t>
          </a:r>
        </a:p>
      </dsp:txBody>
      <dsp:txXfrm>
        <a:off x="0" y="5398668"/>
        <a:ext cx="3723005" cy="1197000"/>
      </dsp:txXfrm>
    </dsp:sp>
    <dsp:sp modelId="{514BAA5A-25A1-407B-9E98-4F585743FC17}">
      <dsp:nvSpPr>
        <dsp:cNvPr id="0" name=""/>
        <dsp:cNvSpPr/>
      </dsp:nvSpPr>
      <dsp:spPr>
        <a:xfrm>
          <a:off x="186150" y="5043552"/>
          <a:ext cx="2606103" cy="590400"/>
        </a:xfrm>
        <a:prstGeom prst="roundRect">
          <a:avLst/>
        </a:prstGeom>
        <a:solidFill>
          <a:schemeClr val="accent5">
            <a:hueOff val="-3676672"/>
            <a:satOff val="-5114"/>
            <a:lumOff val="-1961"/>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8505" tIns="0" rIns="98505" bIns="0" numCol="1" spcCol="1270" anchor="ctr" anchorCtr="0">
          <a:noAutofit/>
        </a:bodyPr>
        <a:lstStyle/>
        <a:p>
          <a:pPr lvl="0" algn="l" defTabSz="400050">
            <a:lnSpc>
              <a:spcPct val="90000"/>
            </a:lnSpc>
            <a:spcBef>
              <a:spcPct val="0"/>
            </a:spcBef>
            <a:spcAft>
              <a:spcPct val="35000"/>
            </a:spcAft>
          </a:pPr>
          <a:r>
            <a:rPr lang="es-CO" sz="900" b="1" kern="1200"/>
            <a:t>4. FASE DE OFICINA</a:t>
          </a:r>
        </a:p>
      </dsp:txBody>
      <dsp:txXfrm>
        <a:off x="214971" y="5072373"/>
        <a:ext cx="2548461" cy="532758"/>
      </dsp:txXfrm>
    </dsp:sp>
    <dsp:sp modelId="{4EFCDA67-9C44-44DD-A910-D775D3C6B542}">
      <dsp:nvSpPr>
        <dsp:cNvPr id="0" name=""/>
        <dsp:cNvSpPr/>
      </dsp:nvSpPr>
      <dsp:spPr>
        <a:xfrm>
          <a:off x="0" y="6970296"/>
          <a:ext cx="3723005" cy="796827"/>
        </a:xfrm>
        <a:prstGeom prst="rect">
          <a:avLst/>
        </a:prstGeom>
        <a:solidFill>
          <a:schemeClr val="lt1">
            <a:alpha val="90000"/>
            <a:hueOff val="0"/>
            <a:satOff val="0"/>
            <a:lumOff val="0"/>
            <a:alphaOff val="0"/>
          </a:schemeClr>
        </a:solidFill>
        <a:ln w="12700" cap="flat" cmpd="sng" algn="ctr">
          <a:solidFill>
            <a:schemeClr val="accent5">
              <a:hueOff val="-4902230"/>
              <a:satOff val="-6819"/>
              <a:lumOff val="-2615"/>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88947" tIns="312420" rIns="288947" bIns="64008" numCol="1" spcCol="1270" anchor="t" anchorCtr="0">
          <a:noAutofit/>
        </a:bodyPr>
        <a:lstStyle/>
        <a:p>
          <a:pPr marL="57150" lvl="1" indent="-57150" algn="l" defTabSz="400050">
            <a:lnSpc>
              <a:spcPct val="90000"/>
            </a:lnSpc>
            <a:spcBef>
              <a:spcPct val="0"/>
            </a:spcBef>
            <a:spcAft>
              <a:spcPct val="15000"/>
            </a:spcAft>
            <a:buChar char="••"/>
          </a:pPr>
          <a:r>
            <a:rPr lang="es-CO" sz="900" kern="1200"/>
            <a:t>Socialización versión premiminar de los POF</a:t>
          </a:r>
        </a:p>
        <a:p>
          <a:pPr marL="57150" lvl="1" indent="-57150" algn="l" defTabSz="400050">
            <a:lnSpc>
              <a:spcPct val="90000"/>
            </a:lnSpc>
            <a:spcBef>
              <a:spcPct val="0"/>
            </a:spcBef>
            <a:spcAft>
              <a:spcPct val="15000"/>
            </a:spcAft>
            <a:buChar char="••"/>
          </a:pPr>
          <a:r>
            <a:rPr lang="es-CO" sz="900" kern="1200"/>
            <a:t>Armonización de los POF con actores locales y regionales</a:t>
          </a:r>
        </a:p>
        <a:p>
          <a:pPr marL="57150" lvl="1" indent="-57150" algn="l" defTabSz="400050">
            <a:lnSpc>
              <a:spcPct val="90000"/>
            </a:lnSpc>
            <a:spcBef>
              <a:spcPct val="0"/>
            </a:spcBef>
            <a:spcAft>
              <a:spcPct val="15000"/>
            </a:spcAft>
            <a:buChar char="••"/>
          </a:pPr>
          <a:r>
            <a:rPr lang="es-CO" sz="900" kern="1200"/>
            <a:t>Edición y ajustes de los POF</a:t>
          </a:r>
        </a:p>
      </dsp:txBody>
      <dsp:txXfrm>
        <a:off x="0" y="6970296"/>
        <a:ext cx="3723005" cy="796827"/>
      </dsp:txXfrm>
    </dsp:sp>
    <dsp:sp modelId="{72C2FA48-4513-4CD5-8267-CAFA222E040F}">
      <dsp:nvSpPr>
        <dsp:cNvPr id="0" name=""/>
        <dsp:cNvSpPr/>
      </dsp:nvSpPr>
      <dsp:spPr>
        <a:xfrm>
          <a:off x="178834" y="6680363"/>
          <a:ext cx="2606103" cy="590400"/>
        </a:xfrm>
        <a:prstGeom prst="roundRect">
          <a:avLst/>
        </a:prstGeom>
        <a:solidFill>
          <a:schemeClr val="accent5">
            <a:hueOff val="-4902230"/>
            <a:satOff val="-6819"/>
            <a:lumOff val="-2615"/>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8505" tIns="0" rIns="98505" bIns="0" numCol="1" spcCol="1270" anchor="ctr" anchorCtr="0">
          <a:noAutofit/>
        </a:bodyPr>
        <a:lstStyle/>
        <a:p>
          <a:pPr lvl="0" algn="l" defTabSz="400050">
            <a:lnSpc>
              <a:spcPct val="90000"/>
            </a:lnSpc>
            <a:spcBef>
              <a:spcPct val="0"/>
            </a:spcBef>
            <a:spcAft>
              <a:spcPct val="35000"/>
            </a:spcAft>
          </a:pPr>
          <a:r>
            <a:rPr lang="es-CO" sz="900" b="1" kern="1200"/>
            <a:t>5. FASE DE FORMULACION</a:t>
          </a:r>
        </a:p>
      </dsp:txBody>
      <dsp:txXfrm>
        <a:off x="207655" y="6709184"/>
        <a:ext cx="2548461" cy="532758"/>
      </dsp:txXfrm>
    </dsp:sp>
    <dsp:sp modelId="{FA8C06B1-BAA1-4827-A601-D14B18466DB6}">
      <dsp:nvSpPr>
        <dsp:cNvPr id="0" name=""/>
        <dsp:cNvSpPr/>
      </dsp:nvSpPr>
      <dsp:spPr>
        <a:xfrm>
          <a:off x="0" y="8155948"/>
          <a:ext cx="3723005" cy="1165500"/>
        </a:xfrm>
        <a:prstGeom prst="rect">
          <a:avLst/>
        </a:prstGeom>
        <a:solidFill>
          <a:schemeClr val="lt1">
            <a:alpha val="90000"/>
            <a:hueOff val="0"/>
            <a:satOff val="0"/>
            <a:lumOff val="0"/>
            <a:alphaOff val="0"/>
          </a:schemeClr>
        </a:solidFill>
        <a:ln w="12700" cap="flat" cmpd="sng" algn="ctr">
          <a:solidFill>
            <a:schemeClr val="accent5">
              <a:hueOff val="-6127787"/>
              <a:satOff val="-8523"/>
              <a:lumOff val="-3268"/>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88947" tIns="312420" rIns="288947" bIns="64008" numCol="1" spcCol="1270" anchor="t" anchorCtr="0">
          <a:noAutofit/>
        </a:bodyPr>
        <a:lstStyle/>
        <a:p>
          <a:pPr marL="57150" lvl="1" indent="-57150" algn="l" defTabSz="400050">
            <a:lnSpc>
              <a:spcPct val="90000"/>
            </a:lnSpc>
            <a:spcBef>
              <a:spcPct val="0"/>
            </a:spcBef>
            <a:spcAft>
              <a:spcPct val="15000"/>
            </a:spcAft>
            <a:buChar char="••"/>
          </a:pPr>
          <a:r>
            <a:rPr lang="es-CO" sz="900" kern="1200"/>
            <a:t>Aprobación de los POF por Consejo Directivo de la autoridad ambiental competente</a:t>
          </a:r>
        </a:p>
        <a:p>
          <a:pPr marL="57150" lvl="1" indent="-57150" algn="l" defTabSz="400050">
            <a:lnSpc>
              <a:spcPct val="90000"/>
            </a:lnSpc>
            <a:spcBef>
              <a:spcPct val="0"/>
            </a:spcBef>
            <a:spcAft>
              <a:spcPct val="15000"/>
            </a:spcAft>
            <a:buChar char="••"/>
          </a:pPr>
          <a:r>
            <a:rPr lang="es-CO" sz="900" kern="1200"/>
            <a:t>Incorporación de los POF en el POA de la autoridad ambiental competente</a:t>
          </a:r>
        </a:p>
        <a:p>
          <a:pPr marL="57150" lvl="1" indent="-57150" algn="l" defTabSz="400050">
            <a:lnSpc>
              <a:spcPct val="90000"/>
            </a:lnSpc>
            <a:spcBef>
              <a:spcPct val="0"/>
            </a:spcBef>
            <a:spcAft>
              <a:spcPct val="15000"/>
            </a:spcAft>
            <a:buChar char="••"/>
          </a:pPr>
          <a:r>
            <a:rPr lang="es-CO" sz="900" kern="1200"/>
            <a:t>Desarrollo de planes, programas y proyectos de cada POF </a:t>
          </a:r>
        </a:p>
      </dsp:txBody>
      <dsp:txXfrm>
        <a:off x="0" y="8155948"/>
        <a:ext cx="3723005" cy="1165500"/>
      </dsp:txXfrm>
    </dsp:sp>
    <dsp:sp modelId="{4E9F94DE-8CF1-4FE7-9A6B-53CB416743FC}">
      <dsp:nvSpPr>
        <dsp:cNvPr id="0" name=""/>
        <dsp:cNvSpPr/>
      </dsp:nvSpPr>
      <dsp:spPr>
        <a:xfrm>
          <a:off x="186150" y="7862083"/>
          <a:ext cx="2606103" cy="590400"/>
        </a:xfrm>
        <a:prstGeom prst="roundRect">
          <a:avLst/>
        </a:prstGeom>
        <a:solidFill>
          <a:schemeClr val="accent5">
            <a:hueOff val="-6127787"/>
            <a:satOff val="-8523"/>
            <a:lumOff val="-3268"/>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8505" tIns="0" rIns="98505" bIns="0" numCol="1" spcCol="1270" anchor="ctr" anchorCtr="0">
          <a:noAutofit/>
        </a:bodyPr>
        <a:lstStyle/>
        <a:p>
          <a:pPr lvl="0" algn="l" defTabSz="400050">
            <a:lnSpc>
              <a:spcPct val="90000"/>
            </a:lnSpc>
            <a:spcBef>
              <a:spcPct val="0"/>
            </a:spcBef>
            <a:spcAft>
              <a:spcPct val="35000"/>
            </a:spcAft>
          </a:pPr>
          <a:r>
            <a:rPr lang="es-CO" sz="900" b="1" kern="1200"/>
            <a:t>6. FASE DE IMPLEMENTACION</a:t>
          </a:r>
        </a:p>
      </dsp:txBody>
      <dsp:txXfrm>
        <a:off x="214971" y="7890904"/>
        <a:ext cx="2548461" cy="532758"/>
      </dsp:txXfrm>
    </dsp:sp>
    <dsp:sp modelId="{77262FC2-D56C-47EC-A6D3-390D5DF0E708}">
      <dsp:nvSpPr>
        <dsp:cNvPr id="0" name=""/>
        <dsp:cNvSpPr/>
      </dsp:nvSpPr>
      <dsp:spPr>
        <a:xfrm>
          <a:off x="0" y="9710269"/>
          <a:ext cx="3723005" cy="913500"/>
        </a:xfrm>
        <a:prstGeom prst="rect">
          <a:avLst/>
        </a:prstGeom>
        <a:solidFill>
          <a:schemeClr val="lt1">
            <a:alpha val="90000"/>
            <a:hueOff val="0"/>
            <a:satOff val="0"/>
            <a:lumOff val="0"/>
            <a:alphaOff val="0"/>
          </a:schemeClr>
        </a:solidFill>
        <a:ln w="12700" cap="flat" cmpd="sng" algn="ctr">
          <a:solidFill>
            <a:schemeClr val="accent5">
              <a:hueOff val="-7353344"/>
              <a:satOff val="-10228"/>
              <a:lumOff val="-3922"/>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88947" tIns="312420" rIns="288947" bIns="64008" numCol="1" spcCol="1270" anchor="t" anchorCtr="0">
          <a:noAutofit/>
        </a:bodyPr>
        <a:lstStyle/>
        <a:p>
          <a:pPr marL="57150" lvl="1" indent="-57150" algn="l" defTabSz="400050">
            <a:lnSpc>
              <a:spcPct val="90000"/>
            </a:lnSpc>
            <a:spcBef>
              <a:spcPct val="0"/>
            </a:spcBef>
            <a:spcAft>
              <a:spcPct val="15000"/>
            </a:spcAft>
            <a:buChar char="••"/>
          </a:pPr>
          <a:r>
            <a:rPr lang="es-CO" sz="900" kern="1200"/>
            <a:t>Seguimiento a los POF</a:t>
          </a:r>
        </a:p>
        <a:p>
          <a:pPr marL="57150" lvl="1" indent="-57150" algn="l" defTabSz="400050">
            <a:lnSpc>
              <a:spcPct val="90000"/>
            </a:lnSpc>
            <a:spcBef>
              <a:spcPct val="0"/>
            </a:spcBef>
            <a:spcAft>
              <a:spcPct val="15000"/>
            </a:spcAft>
            <a:buChar char="••"/>
          </a:pPr>
          <a:r>
            <a:rPr lang="es-CO" sz="900" kern="1200"/>
            <a:t>Revisión y evaluación de los POF</a:t>
          </a:r>
        </a:p>
        <a:p>
          <a:pPr marL="57150" lvl="1" indent="-57150" algn="l" defTabSz="400050">
            <a:lnSpc>
              <a:spcPct val="90000"/>
            </a:lnSpc>
            <a:spcBef>
              <a:spcPct val="0"/>
            </a:spcBef>
            <a:spcAft>
              <a:spcPct val="15000"/>
            </a:spcAft>
            <a:buChar char="••"/>
          </a:pPr>
          <a:r>
            <a:rPr lang="es-CO" sz="900" kern="1200"/>
            <a:t>Actualización de los POF  </a:t>
          </a:r>
        </a:p>
      </dsp:txBody>
      <dsp:txXfrm>
        <a:off x="0" y="9710269"/>
        <a:ext cx="3723005" cy="913500"/>
      </dsp:txXfrm>
    </dsp:sp>
    <dsp:sp modelId="{0BB363C2-1000-4D63-89E1-75C121258685}">
      <dsp:nvSpPr>
        <dsp:cNvPr id="0" name=""/>
        <dsp:cNvSpPr/>
      </dsp:nvSpPr>
      <dsp:spPr>
        <a:xfrm>
          <a:off x="193465" y="9430783"/>
          <a:ext cx="2606103" cy="590400"/>
        </a:xfrm>
        <a:prstGeom prst="roundRect">
          <a:avLst/>
        </a:prstGeom>
        <a:solidFill>
          <a:schemeClr val="accent5">
            <a:hueOff val="-7353344"/>
            <a:satOff val="-10228"/>
            <a:lumOff val="-3922"/>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8505" tIns="0" rIns="98505" bIns="0" numCol="1" spcCol="1270" anchor="ctr" anchorCtr="0">
          <a:noAutofit/>
        </a:bodyPr>
        <a:lstStyle/>
        <a:p>
          <a:pPr lvl="0" algn="l" defTabSz="400050">
            <a:lnSpc>
              <a:spcPct val="90000"/>
            </a:lnSpc>
            <a:spcBef>
              <a:spcPct val="0"/>
            </a:spcBef>
            <a:spcAft>
              <a:spcPct val="35000"/>
            </a:spcAft>
          </a:pPr>
          <a:r>
            <a:rPr lang="es-CO" sz="900" b="1" kern="1200"/>
            <a:t>7. FASE DE SEGUIMIENTO Y ACTUALIZACION</a:t>
          </a:r>
        </a:p>
      </dsp:txBody>
      <dsp:txXfrm>
        <a:off x="222286" y="9459604"/>
        <a:ext cx="2548461" cy="532758"/>
      </dsp:txXfrm>
    </dsp:sp>
  </dsp:spTree>
</dsp:drawing>
</file>

<file path=xl/diagrams/layout1.xml><?xml version="1.0" encoding="utf-8"?>
<dgm:layoutDef xmlns:dgm="http://schemas.openxmlformats.org/drawingml/2006/diagram" xmlns:a="http://schemas.openxmlformats.org/drawingml/2006/main" uniqueId="urn:microsoft.com/office/officeart/2005/8/layout/list1">
  <dgm:title val=""/>
  <dgm:desc val=""/>
  <dgm:catLst>
    <dgm:cat type="list" pri="4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t modelId="2"/>
      </dgm:ptLst>
      <dgm:cxnLst>
        <dgm:cxn modelId="4" srcId="0" destId="1" srcOrd="0" destOrd="0"/>
        <dgm:cxn modelId="5"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dir/>
      <dgm:animLvl val="lvl"/>
      <dgm:resizeHandles val="exact"/>
    </dgm:varLst>
    <dgm:choose name="Name0">
      <dgm:if name="Name1" func="var" arg="dir" op="equ" val="norm">
        <dgm:alg type="lin">
          <dgm:param type="linDir" val="fromT"/>
          <dgm:param type="vertAlign" val="mid"/>
          <dgm:param type="horzAlign" val="l"/>
          <dgm:param type="nodeHorzAlign" val="l"/>
        </dgm:alg>
      </dgm:if>
      <dgm:else name="Name2">
        <dgm:alg type="lin">
          <dgm:param type="linDir" val="fromT"/>
          <dgm:param type="vertAlign" val="mid"/>
          <dgm:param type="horzAlign" val="r"/>
          <dgm:param type="nodeHorzAlign" val="r"/>
        </dgm:alg>
      </dgm:else>
    </dgm:choose>
    <dgm:shape xmlns:r="http://schemas.openxmlformats.org/officeDocument/2006/relationships" r:blip="">
      <dgm:adjLst/>
    </dgm:shape>
    <dgm:presOf/>
    <dgm:constrLst>
      <dgm:constr type="w" for="ch" forName="parentLin" refType="w"/>
      <dgm:constr type="h" for="ch" forName="parentLin" val="INF"/>
      <dgm:constr type="w" for="des" forName="parentLeftMargin" refType="w" fact="0.05"/>
      <dgm:constr type="w" for="des" forName="parentText" refType="w" fact="0.7"/>
      <dgm:constr type="h" for="des" forName="parentText" refType="primFontSz" refFor="des" refForName="parentText" fact="0.82"/>
      <dgm:constr type="h" for="ch" forName="negativeSpace" refType="primFontSz" refFor="des" refForName="parentText" fact="-0.41"/>
      <dgm:constr type="h" for="ch" forName="negativeSpace" refType="h" refFor="des" refForName="parentText" op="lte" fact="-0.82"/>
      <dgm:constr type="h" for="ch" forName="negativeSpace" refType="h" refFor="des" refForName="parentText" op="gte" fact="-0.82"/>
      <dgm:constr type="w" for="ch" forName="childText" refType="w"/>
      <dgm:constr type="h" for="ch" forName="childText" refType="primFontSz" refFor="des" refForName="parentText" fact="0.7"/>
      <dgm:constr type="primFontSz" for="des" forName="parentText" val="65"/>
      <dgm:constr type="primFontSz" for="ch" forName="childText" refType="primFontSz" refFor="des" refForName="parentText"/>
      <dgm:constr type="tMarg" for="ch" forName="childText" refType="primFontSz" refFor="des" refForName="parentText" fact="1.64"/>
      <dgm:constr type="tMarg" for="ch" forName="childText" refType="h" refFor="des" refForName="parentText" op="lte" fact="3.28"/>
      <dgm:constr type="tMarg" for="ch" forName="childText" refType="h" refFor="des" refForName="parentText" op="gte" fact="3.28"/>
      <dgm:constr type="lMarg" for="ch" forName="childText" refType="w" fact="0.22"/>
      <dgm:constr type="rMarg" for="ch" forName="childText" refType="lMarg" refFor="ch" refForName="childText"/>
      <dgm:constr type="lMarg" for="des" forName="parentText" refType="w" fact="0.075"/>
      <dgm:constr type="rMarg" for="des" forName="parentText" refType="lMarg" refFor="des" refForName="parentText"/>
      <dgm:constr type="h" for="ch" forName="spaceBetweenRectangles" refType="primFontSz" refFor="des" refForName="parentText" fact="0.15"/>
    </dgm:constrLst>
    <dgm:ruleLst>
      <dgm:rule type="primFontSz" for="des" forName="parentText" val="5" fact="NaN" max="NaN"/>
    </dgm:ruleLst>
    <dgm:forEach name="Name3" axis="ch" ptType="node">
      <dgm:layoutNode name="parentLin">
        <dgm:choose name="Name4">
          <dgm:if name="Name5" func="var" arg="dir" op="equ" val="norm">
            <dgm:alg type="lin">
              <dgm:param type="linDir" val="fromL"/>
              <dgm:param type="horzAlign" val="l"/>
              <dgm:param type="nodeHorzAlign" val="l"/>
            </dgm:alg>
          </dgm:if>
          <dgm:else name="Name6">
            <dgm:alg type="lin">
              <dgm:param type="linDir" val="fromR"/>
              <dgm:param type="horzAlign" val="r"/>
              <dgm:param type="nodeHorzAlign" val="r"/>
            </dgm:alg>
          </dgm:else>
        </dgm:choose>
        <dgm:shape xmlns:r="http://schemas.openxmlformats.org/officeDocument/2006/relationships" r:blip="">
          <dgm:adjLst/>
        </dgm:shape>
        <dgm:presOf/>
        <dgm:constrLst/>
        <dgm:ruleLst/>
        <dgm:layoutNode name="parentLeftMargin">
          <dgm:alg type="sp"/>
          <dgm:shape xmlns:r="http://schemas.openxmlformats.org/officeDocument/2006/relationships" type="rect" r:blip="" hideGeom="1">
            <dgm:adjLst/>
          </dgm:shape>
          <dgm:presOf axis="self"/>
          <dgm:constrLst>
            <dgm:constr type="h"/>
          </dgm:constrLst>
          <dgm:ruleLst/>
        </dgm:layoutNode>
        <dgm:layoutNode name="parentText" styleLbl="node1">
          <dgm:varLst>
            <dgm:chMax val="0"/>
            <dgm:bulletEnabled val="1"/>
          </dgm:varLst>
          <dgm:choose name="Name7">
            <dgm:if name="Name8" func="var" arg="dir" op="equ" val="norm">
              <dgm:alg type="tx">
                <dgm:param type="parTxLTRAlign" val="l"/>
                <dgm:param type="parTxRTLAlign" val="l"/>
              </dgm:alg>
            </dgm:if>
            <dgm:else name="Name9">
              <dgm:alg type="tx">
                <dgm:param type="parTxLTRAlign" val="r"/>
                <dgm:param type="parTxRTLAlign" val="r"/>
              </dgm:alg>
            </dgm:else>
          </dgm:choose>
          <dgm:shape xmlns:r="http://schemas.openxmlformats.org/officeDocument/2006/relationships" type="roundRect" r:blip="">
            <dgm:adjLst/>
          </dgm:shape>
          <dgm:presOf axis="self" ptType="node"/>
          <dgm:constrLst>
            <dgm:constr type="tMarg"/>
            <dgm:constr type="bMarg"/>
          </dgm:constrLst>
          <dgm:ruleLst/>
        </dgm:layoutNode>
      </dgm:layoutNode>
      <dgm:layoutNode name="negativeSpace">
        <dgm:alg type="sp"/>
        <dgm:shape xmlns:r="http://schemas.openxmlformats.org/officeDocument/2006/relationships" r:blip="">
          <dgm:adjLst/>
        </dgm:shape>
        <dgm:presOf/>
        <dgm:constrLst/>
        <dgm:ruleLst/>
      </dgm:layoutNode>
      <dgm:layoutNode name="childText" styleLbl="conFgAcc1">
        <dgm:varLst>
          <dgm:bulletEnabled val="1"/>
        </dgm:varLst>
        <dgm:alg type="tx">
          <dgm:param type="stBulletLvl" val="1"/>
        </dgm:alg>
        <dgm:shape xmlns:r="http://schemas.openxmlformats.org/officeDocument/2006/relationships" type="rect" r:blip="" zOrderOff="-2">
          <dgm:adjLst/>
        </dgm:shape>
        <dgm:presOf axis="des" ptType="node"/>
        <dgm:constrLst>
          <dgm:constr type="secFontSz" refType="primFontSz"/>
        </dgm:constrLst>
        <dgm:ruleLst>
          <dgm:rule type="h" val="INF" fact="NaN" max="NaN"/>
        </dgm:ruleLst>
      </dgm:layoutNode>
      <dgm:forEach name="Name10" axis="followSib" ptType="sibTrans" cnt="1">
        <dgm:layoutNode name="spaceBetweenRectangles">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8.png"/></Relationships>
</file>

<file path=xl/drawings/_rels/drawing14.xml.rels><?xml version="1.0" encoding="UTF-8" standalone="yes"?>
<Relationships xmlns="http://schemas.openxmlformats.org/package/2006/relationships"><Relationship Id="rId3" Type="http://schemas.openxmlformats.org/officeDocument/2006/relationships/diagramLayout" Target="../diagrams/layout1.xml"/><Relationship Id="rId7" Type="http://schemas.openxmlformats.org/officeDocument/2006/relationships/image" Target="../media/image1.png"/><Relationship Id="rId2" Type="http://schemas.openxmlformats.org/officeDocument/2006/relationships/diagramData" Target="../diagrams/data1.xml"/><Relationship Id="rId1" Type="http://schemas.openxmlformats.org/officeDocument/2006/relationships/image" Target="../media/image19.png"/><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_rels/drawing1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1.png"/><Relationship Id="rId1" Type="http://schemas.openxmlformats.org/officeDocument/2006/relationships/image" Target="../media/image20.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3.png"/><Relationship Id="rId1" Type="http://schemas.openxmlformats.org/officeDocument/2006/relationships/image" Target="../media/image22.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5.png"/><Relationship Id="rId1" Type="http://schemas.openxmlformats.org/officeDocument/2006/relationships/image" Target="../media/image24.png"/></Relationships>
</file>

<file path=xl/drawings/_rels/drawing1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7.png"/><Relationship Id="rId1" Type="http://schemas.openxmlformats.org/officeDocument/2006/relationships/image" Target="../media/image26.png"/></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8.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9.png"/></Relationships>
</file>

<file path=xl/drawings/_rels/drawing2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1.png"/><Relationship Id="rId1" Type="http://schemas.openxmlformats.org/officeDocument/2006/relationships/image" Target="../media/image30.png"/></Relationships>
</file>

<file path=xl/drawings/_rels/drawing2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3.png"/><Relationship Id="rId1" Type="http://schemas.openxmlformats.org/officeDocument/2006/relationships/image" Target="../media/image32.png"/></Relationships>
</file>

<file path=xl/drawings/_rels/drawing2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5.png"/><Relationship Id="rId1" Type="http://schemas.openxmlformats.org/officeDocument/2006/relationships/image" Target="../media/image34.png"/></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6.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8.png"/><Relationship Id="rId1" Type="http://schemas.openxmlformats.org/officeDocument/2006/relationships/image" Target="../media/image37.png"/></Relationships>
</file>

<file path=xl/drawings/_rels/drawing2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9.png"/></Relationships>
</file>

<file path=xl/drawings/_rels/drawing2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0.png"/></Relationships>
</file>

<file path=xl/drawings/_rels/drawing2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1.png"/></Relationships>
</file>

<file path=xl/drawings/_rels/drawing29.xml.rels><?xml version="1.0" encoding="UTF-8" standalone="yes"?>
<Relationships xmlns="http://schemas.openxmlformats.org/package/2006/relationships"><Relationship Id="rId3" Type="http://schemas.openxmlformats.org/officeDocument/2006/relationships/image" Target="../media/image44.png"/><Relationship Id="rId2" Type="http://schemas.openxmlformats.org/officeDocument/2006/relationships/image" Target="../media/image43.png"/><Relationship Id="rId1" Type="http://schemas.openxmlformats.org/officeDocument/2006/relationships/image" Target="../media/image42.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6.png"/><Relationship Id="rId1" Type="http://schemas.openxmlformats.org/officeDocument/2006/relationships/image" Target="../media/image45.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png"/><Relationship Id="rId5" Type="http://schemas.openxmlformats.org/officeDocument/2006/relationships/image" Target="../media/image13.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0</xdr:col>
      <xdr:colOff>2</xdr:colOff>
      <xdr:row>0</xdr:row>
      <xdr:rowOff>0</xdr:rowOff>
    </xdr:from>
    <xdr:to>
      <xdr:col>6</xdr:col>
      <xdr:colOff>0</xdr:colOff>
      <xdr:row>1</xdr:row>
      <xdr:rowOff>0</xdr:rowOff>
    </xdr:to>
    <xdr:grpSp>
      <xdr:nvGrpSpPr>
        <xdr:cNvPr id="10" name="1 Grupo">
          <a:extLst>
            <a:ext uri="{FF2B5EF4-FFF2-40B4-BE49-F238E27FC236}">
              <a16:creationId xmlns:a16="http://schemas.microsoft.com/office/drawing/2014/main" id="{00000000-0008-0000-0000-00000A000000}"/>
            </a:ext>
          </a:extLst>
        </xdr:cNvPr>
        <xdr:cNvGrpSpPr>
          <a:grpSpLocks/>
        </xdr:cNvGrpSpPr>
      </xdr:nvGrpSpPr>
      <xdr:grpSpPr bwMode="auto">
        <a:xfrm>
          <a:off x="2" y="0"/>
          <a:ext cx="10201273" cy="1657350"/>
          <a:chOff x="57151" y="47625"/>
          <a:chExt cx="6181724" cy="1581150"/>
        </a:xfrm>
      </xdr:grpSpPr>
      <xdr:pic>
        <xdr:nvPicPr>
          <xdr:cNvPr id="11" name="1 Imagen" descr="ESCUDO-transp-lema-blanco.png">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cstate="print"/>
          <a:srcRect/>
          <a:stretch>
            <a:fillRect/>
          </a:stretch>
        </xdr:blipFill>
        <xdr:spPr bwMode="auto">
          <a:xfrm>
            <a:off x="57151" y="47625"/>
            <a:ext cx="850209" cy="1581150"/>
          </a:xfrm>
          <a:prstGeom prst="rect">
            <a:avLst/>
          </a:prstGeom>
          <a:noFill/>
          <a:ln w="9525">
            <a:noFill/>
            <a:miter lim="800000"/>
            <a:headEnd/>
            <a:tailEnd/>
          </a:ln>
        </xdr:spPr>
      </xdr:pic>
      <xdr:sp macro="" textlink="">
        <xdr:nvSpPr>
          <xdr:cNvPr id="12" name="3 CuadroTexto">
            <a:extLst>
              <a:ext uri="{FF2B5EF4-FFF2-40B4-BE49-F238E27FC236}">
                <a16:creationId xmlns:a16="http://schemas.microsoft.com/office/drawing/2014/main" id="{00000000-0008-0000-0000-00000C000000}"/>
              </a:ext>
            </a:extLst>
          </xdr:cNvPr>
          <xdr:cNvSpPr txBox="1"/>
        </xdr:nvSpPr>
        <xdr:spPr>
          <a:xfrm>
            <a:off x="1426640" y="495300"/>
            <a:ext cx="4812235"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de Ordenamiento Ambiental Territorial y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518160</xdr:colOff>
      <xdr:row>91</xdr:row>
      <xdr:rowOff>0</xdr:rowOff>
    </xdr:from>
    <xdr:to>
      <xdr:col>2</xdr:col>
      <xdr:colOff>1920362</xdr:colOff>
      <xdr:row>92</xdr:row>
      <xdr:rowOff>83843</xdr:rowOff>
    </xdr:to>
    <xdr:pic>
      <xdr:nvPicPr>
        <xdr:cNvPr id="2" name="Imagen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0" y="28696920"/>
          <a:ext cx="1402202"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0F00-000003000000}"/>
            </a:ext>
          </a:extLst>
        </xdr:cNvPr>
        <xdr:cNvGrpSpPr>
          <a:grpSpLocks/>
        </xdr:cNvGrpSpPr>
      </xdr:nvGrpSpPr>
      <xdr:grpSpPr bwMode="auto">
        <a:xfrm>
          <a:off x="0" y="0"/>
          <a:ext cx="5928832" cy="1277615"/>
          <a:chOff x="57150" y="47625"/>
          <a:chExt cx="6316603" cy="1200288"/>
        </a:xfrm>
      </xdr:grpSpPr>
      <xdr:pic>
        <xdr:nvPicPr>
          <xdr:cNvPr id="4" name="1 Imagen" descr="ESCUDO-transp-lema-blanco.png">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0F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640080</xdr:colOff>
      <xdr:row>82</xdr:row>
      <xdr:rowOff>38100</xdr:rowOff>
    </xdr:from>
    <xdr:to>
      <xdr:col>2</xdr:col>
      <xdr:colOff>1680300</xdr:colOff>
      <xdr:row>83</xdr:row>
      <xdr:rowOff>68598</xdr:rowOff>
    </xdr:to>
    <xdr:pic>
      <xdr:nvPicPr>
        <xdr:cNvPr id="2" name="Imagen 1">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51660" y="29131260"/>
          <a:ext cx="1040220" cy="213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647700</xdr:colOff>
      <xdr:row>89</xdr:row>
      <xdr:rowOff>419100</xdr:rowOff>
    </xdr:from>
    <xdr:to>
      <xdr:col>2</xdr:col>
      <xdr:colOff>1752696</xdr:colOff>
      <xdr:row>91</xdr:row>
      <xdr:rowOff>152432</xdr:rowOff>
    </xdr:to>
    <xdr:pic>
      <xdr:nvPicPr>
        <xdr:cNvPr id="3" name="Imagen 2">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59280" y="32285940"/>
          <a:ext cx="1104996"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1000-000004000000}"/>
            </a:ext>
          </a:extLst>
        </xdr:cNvPr>
        <xdr:cNvGrpSpPr>
          <a:grpSpLocks/>
        </xdr:cNvGrpSpPr>
      </xdr:nvGrpSpPr>
      <xdr:grpSpPr bwMode="auto">
        <a:xfrm>
          <a:off x="0" y="0"/>
          <a:ext cx="5860796" cy="1277615"/>
          <a:chOff x="57150" y="47625"/>
          <a:chExt cx="6316603" cy="1200288"/>
        </a:xfrm>
      </xdr:grpSpPr>
      <xdr:pic>
        <xdr:nvPicPr>
          <xdr:cNvPr id="5" name="1 Imagen" descr="ESCUDO-transp-lema-blanco.png">
            <a:extLst>
              <a:ext uri="{FF2B5EF4-FFF2-40B4-BE49-F238E27FC236}">
                <a16:creationId xmlns:a16="http://schemas.microsoft.com/office/drawing/2014/main" id="{00000000-0008-0000-10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10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548641</xdr:colOff>
      <xdr:row>145</xdr:row>
      <xdr:rowOff>15240</xdr:rowOff>
    </xdr:from>
    <xdr:to>
      <xdr:col>2</xdr:col>
      <xdr:colOff>2088014</xdr:colOff>
      <xdr:row>146</xdr:row>
      <xdr:rowOff>137186</xdr:rowOff>
    </xdr:to>
    <xdr:pic>
      <xdr:nvPicPr>
        <xdr:cNvPr id="2" name="Imagen 1">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0221" y="37421820"/>
          <a:ext cx="1539373" cy="304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1100-000003000000}"/>
            </a:ext>
          </a:extLst>
        </xdr:cNvPr>
        <xdr:cNvGrpSpPr>
          <a:grpSpLocks/>
        </xdr:cNvGrpSpPr>
      </xdr:nvGrpSpPr>
      <xdr:grpSpPr bwMode="auto">
        <a:xfrm>
          <a:off x="0" y="0"/>
          <a:ext cx="5411054" cy="1278498"/>
          <a:chOff x="57150" y="47625"/>
          <a:chExt cx="6316603" cy="1200288"/>
        </a:xfrm>
      </xdr:grpSpPr>
      <xdr:pic>
        <xdr:nvPicPr>
          <xdr:cNvPr id="4" name="1 Imagen" descr="ESCUDO-transp-lema-blanco.png">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11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556261</xdr:colOff>
      <xdr:row>79</xdr:row>
      <xdr:rowOff>30480</xdr:rowOff>
    </xdr:from>
    <xdr:to>
      <xdr:col>2</xdr:col>
      <xdr:colOff>2187082</xdr:colOff>
      <xdr:row>80</xdr:row>
      <xdr:rowOff>129564</xdr:rowOff>
    </xdr:to>
    <xdr:pic>
      <xdr:nvPicPr>
        <xdr:cNvPr id="2" name="Imagen 1">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7841" y="20139660"/>
          <a:ext cx="1630821" cy="28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1200-000003000000}"/>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12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472440</xdr:colOff>
      <xdr:row>84</xdr:row>
      <xdr:rowOff>15240</xdr:rowOff>
    </xdr:from>
    <xdr:to>
      <xdr:col>2</xdr:col>
      <xdr:colOff>2110882</xdr:colOff>
      <xdr:row>85</xdr:row>
      <xdr:rowOff>137186</xdr:rowOff>
    </xdr:to>
    <xdr:pic>
      <xdr:nvPicPr>
        <xdr:cNvPr id="2" name="Imagen 1">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84020" y="23416260"/>
          <a:ext cx="1638442" cy="304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0</xdr:colOff>
      <xdr:row>18</xdr:row>
      <xdr:rowOff>0</xdr:rowOff>
    </xdr:from>
    <xdr:to>
      <xdr:col>21</xdr:col>
      <xdr:colOff>675005</xdr:colOff>
      <xdr:row>61</xdr:row>
      <xdr:rowOff>73660</xdr:rowOff>
    </xdr:to>
    <xdr:graphicFrame macro="">
      <xdr:nvGraphicFramePr>
        <xdr:cNvPr id="3" name="Diagrama 2">
          <a:extLst>
            <a:ext uri="{FF2B5EF4-FFF2-40B4-BE49-F238E27FC236}">
              <a16:creationId xmlns:a16="http://schemas.microsoft.com/office/drawing/2014/main" id="{00000000-0008-0000-13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1300-000004000000}"/>
            </a:ext>
          </a:extLst>
        </xdr:cNvPr>
        <xdr:cNvGrpSpPr>
          <a:grpSpLocks/>
        </xdr:cNvGrpSpPr>
      </xdr:nvGrpSpPr>
      <xdr:grpSpPr bwMode="auto">
        <a:xfrm>
          <a:off x="0" y="0"/>
          <a:ext cx="5726968" cy="1281353"/>
          <a:chOff x="57150" y="47625"/>
          <a:chExt cx="6316603" cy="1200288"/>
        </a:xfrm>
      </xdr:grpSpPr>
      <xdr:pic>
        <xdr:nvPicPr>
          <xdr:cNvPr id="5" name="1 Imagen" descr="ESCUDO-transp-lema-blanco.png">
            <a:extLst>
              <a:ext uri="{FF2B5EF4-FFF2-40B4-BE49-F238E27FC236}">
                <a16:creationId xmlns:a16="http://schemas.microsoft.com/office/drawing/2014/main" id="{00000000-0008-0000-1300-000005000000}"/>
              </a:ext>
            </a:extLst>
          </xdr:cNvPr>
          <xdr:cNvPicPr>
            <a:picLocks noChangeAspect="1"/>
          </xdr:cNvPicPr>
        </xdr:nvPicPr>
        <xdr:blipFill>
          <a:blip xmlns:r="http://schemas.openxmlformats.org/officeDocument/2006/relationships" r:embed="rId7"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13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647701</xdr:colOff>
      <xdr:row>69</xdr:row>
      <xdr:rowOff>68580</xdr:rowOff>
    </xdr:from>
    <xdr:to>
      <xdr:col>2</xdr:col>
      <xdr:colOff>1905110</xdr:colOff>
      <xdr:row>71</xdr:row>
      <xdr:rowOff>26</xdr:rowOff>
    </xdr:to>
    <xdr:pic>
      <xdr:nvPicPr>
        <xdr:cNvPr id="2" name="Imagen 1">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59281" y="23789640"/>
          <a:ext cx="1257409"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723901</xdr:colOff>
      <xdr:row>76</xdr:row>
      <xdr:rowOff>53340</xdr:rowOff>
    </xdr:from>
    <xdr:to>
      <xdr:col>2</xdr:col>
      <xdr:colOff>1775552</xdr:colOff>
      <xdr:row>78</xdr:row>
      <xdr:rowOff>60992</xdr:rowOff>
    </xdr:to>
    <xdr:pic>
      <xdr:nvPicPr>
        <xdr:cNvPr id="3" name="Imagen 2">
          <a:extLst>
            <a:ext uri="{FF2B5EF4-FFF2-40B4-BE49-F238E27FC236}">
              <a16:creationId xmlns:a16="http://schemas.microsoft.com/office/drawing/2014/main" id="{00000000-0008-0000-14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35481" y="25786080"/>
          <a:ext cx="1051651"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1400-000004000000}"/>
            </a:ext>
          </a:extLst>
        </xdr:cNvPr>
        <xdr:cNvGrpSpPr>
          <a:grpSpLocks/>
        </xdr:cNvGrpSpPr>
      </xdr:nvGrpSpPr>
      <xdr:grpSpPr bwMode="auto">
        <a:xfrm>
          <a:off x="0" y="0"/>
          <a:ext cx="5549776" cy="1277615"/>
          <a:chOff x="57150" y="47625"/>
          <a:chExt cx="6316603" cy="1200288"/>
        </a:xfrm>
      </xdr:grpSpPr>
      <xdr:pic>
        <xdr:nvPicPr>
          <xdr:cNvPr id="5" name="1 Imagen" descr="ESCUDO-transp-lema-blanco.png">
            <a:extLst>
              <a:ext uri="{FF2B5EF4-FFF2-40B4-BE49-F238E27FC236}">
                <a16:creationId xmlns:a16="http://schemas.microsoft.com/office/drawing/2014/main" id="{00000000-0008-0000-14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14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762000</xdr:colOff>
      <xdr:row>84</xdr:row>
      <xdr:rowOff>106680</xdr:rowOff>
    </xdr:from>
    <xdr:to>
      <xdr:col>2</xdr:col>
      <xdr:colOff>1981306</xdr:colOff>
      <xdr:row>85</xdr:row>
      <xdr:rowOff>160040</xdr:rowOff>
    </xdr:to>
    <xdr:pic>
      <xdr:nvPicPr>
        <xdr:cNvPr id="2" name="Imagen 1">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44040" y="26692860"/>
          <a:ext cx="1219306" cy="236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693421</xdr:colOff>
      <xdr:row>90</xdr:row>
      <xdr:rowOff>419100</xdr:rowOff>
    </xdr:from>
    <xdr:to>
      <xdr:col>2</xdr:col>
      <xdr:colOff>1790796</xdr:colOff>
      <xdr:row>92</xdr:row>
      <xdr:rowOff>152432</xdr:rowOff>
    </xdr:to>
    <xdr:pic>
      <xdr:nvPicPr>
        <xdr:cNvPr id="3" name="Imagen 2">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75461" y="29016960"/>
          <a:ext cx="1097375"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1500-000004000000}"/>
            </a:ext>
          </a:extLst>
        </xdr:cNvPr>
        <xdr:cNvGrpSpPr>
          <a:grpSpLocks/>
        </xdr:cNvGrpSpPr>
      </xdr:nvGrpSpPr>
      <xdr:grpSpPr bwMode="auto">
        <a:xfrm>
          <a:off x="0" y="0"/>
          <a:ext cx="5180439" cy="1277615"/>
          <a:chOff x="57150" y="47625"/>
          <a:chExt cx="6316603" cy="1200288"/>
        </a:xfrm>
      </xdr:grpSpPr>
      <xdr:pic>
        <xdr:nvPicPr>
          <xdr:cNvPr id="5" name="1 Imagen" descr="ESCUDO-transp-lema-blanco.png">
            <a:extLst>
              <a:ext uri="{FF2B5EF4-FFF2-40B4-BE49-F238E27FC236}">
                <a16:creationId xmlns:a16="http://schemas.microsoft.com/office/drawing/2014/main" id="{00000000-0008-0000-15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15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670561</xdr:colOff>
      <xdr:row>76</xdr:row>
      <xdr:rowOff>76200</xdr:rowOff>
    </xdr:from>
    <xdr:to>
      <xdr:col>2</xdr:col>
      <xdr:colOff>1790798</xdr:colOff>
      <xdr:row>77</xdr:row>
      <xdr:rowOff>129560</xdr:rowOff>
    </xdr:to>
    <xdr:pic>
      <xdr:nvPicPr>
        <xdr:cNvPr id="2" name="Imagen 1">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82141" y="27165300"/>
          <a:ext cx="1120237" cy="236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685801</xdr:colOff>
      <xdr:row>84</xdr:row>
      <xdr:rowOff>0</xdr:rowOff>
    </xdr:from>
    <xdr:to>
      <xdr:col>2</xdr:col>
      <xdr:colOff>1684108</xdr:colOff>
      <xdr:row>86</xdr:row>
      <xdr:rowOff>7652</xdr:rowOff>
    </xdr:to>
    <xdr:pic>
      <xdr:nvPicPr>
        <xdr:cNvPr id="3" name="Imagen 2">
          <a:extLst>
            <a:ext uri="{FF2B5EF4-FFF2-40B4-BE49-F238E27FC236}">
              <a16:creationId xmlns:a16="http://schemas.microsoft.com/office/drawing/2014/main" id="{00000000-0008-0000-16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97381" y="30319980"/>
          <a:ext cx="998307"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1600-000004000000}"/>
            </a:ext>
          </a:extLst>
        </xdr:cNvPr>
        <xdr:cNvGrpSpPr>
          <a:grpSpLocks/>
        </xdr:cNvGrpSpPr>
      </xdr:nvGrpSpPr>
      <xdr:grpSpPr bwMode="auto">
        <a:xfrm>
          <a:off x="0" y="0"/>
          <a:ext cx="5316510" cy="1277615"/>
          <a:chOff x="57150" y="47625"/>
          <a:chExt cx="6316603" cy="1200288"/>
        </a:xfrm>
      </xdr:grpSpPr>
      <xdr:pic>
        <xdr:nvPicPr>
          <xdr:cNvPr id="5" name="1 Imagen" descr="ESCUDO-transp-lema-blanco.png">
            <a:extLst>
              <a:ext uri="{FF2B5EF4-FFF2-40B4-BE49-F238E27FC236}">
                <a16:creationId xmlns:a16="http://schemas.microsoft.com/office/drawing/2014/main" id="{00000000-0008-0000-16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16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426720</xdr:colOff>
      <xdr:row>79</xdr:row>
      <xdr:rowOff>53340</xdr:rowOff>
    </xdr:from>
    <xdr:to>
      <xdr:col>2</xdr:col>
      <xdr:colOff>2156610</xdr:colOff>
      <xdr:row>80</xdr:row>
      <xdr:rowOff>175286</xdr:rowOff>
    </xdr:to>
    <xdr:pic>
      <xdr:nvPicPr>
        <xdr:cNvPr id="2" name="Imagen 1">
          <a:extLst>
            <a:ext uri="{FF2B5EF4-FFF2-40B4-BE49-F238E27FC236}">
              <a16:creationId xmlns:a16="http://schemas.microsoft.com/office/drawing/2014/main" id="{00000000-0008-0000-17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38300" y="24704040"/>
          <a:ext cx="1729890" cy="304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716281</xdr:colOff>
      <xdr:row>88</xdr:row>
      <xdr:rowOff>0</xdr:rowOff>
    </xdr:from>
    <xdr:to>
      <xdr:col>2</xdr:col>
      <xdr:colOff>1813656</xdr:colOff>
      <xdr:row>90</xdr:row>
      <xdr:rowOff>7652</xdr:rowOff>
    </xdr:to>
    <xdr:pic>
      <xdr:nvPicPr>
        <xdr:cNvPr id="3" name="Imagen 2">
          <a:extLst>
            <a:ext uri="{FF2B5EF4-FFF2-40B4-BE49-F238E27FC236}">
              <a16:creationId xmlns:a16="http://schemas.microsoft.com/office/drawing/2014/main" id="{00000000-0008-0000-17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27861" y="28064460"/>
          <a:ext cx="1097375"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1700-000004000000}"/>
            </a:ext>
          </a:extLst>
        </xdr:cNvPr>
        <xdr:cNvGrpSpPr>
          <a:grpSpLocks/>
        </xdr:cNvGrpSpPr>
      </xdr:nvGrpSpPr>
      <xdr:grpSpPr bwMode="auto">
        <a:xfrm>
          <a:off x="0" y="0"/>
          <a:ext cx="5316510" cy="1277615"/>
          <a:chOff x="57150" y="47625"/>
          <a:chExt cx="6316603" cy="1200288"/>
        </a:xfrm>
      </xdr:grpSpPr>
      <xdr:pic>
        <xdr:nvPicPr>
          <xdr:cNvPr id="5" name="1 Imagen" descr="ESCUDO-transp-lema-blanco.png">
            <a:extLst>
              <a:ext uri="{FF2B5EF4-FFF2-40B4-BE49-F238E27FC236}">
                <a16:creationId xmlns:a16="http://schemas.microsoft.com/office/drawing/2014/main" id="{00000000-0008-0000-17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17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2</xdr:col>
      <xdr:colOff>518161</xdr:colOff>
      <xdr:row>87</xdr:row>
      <xdr:rowOff>449580</xdr:rowOff>
    </xdr:from>
    <xdr:to>
      <xdr:col>2</xdr:col>
      <xdr:colOff>2377602</xdr:colOff>
      <xdr:row>90</xdr:row>
      <xdr:rowOff>32</xdr:rowOff>
    </xdr:to>
    <xdr:pic>
      <xdr:nvPicPr>
        <xdr:cNvPr id="2" name="Imagen 1">
          <a:extLst>
            <a:ext uri="{FF2B5EF4-FFF2-40B4-BE49-F238E27FC236}">
              <a16:creationId xmlns:a16="http://schemas.microsoft.com/office/drawing/2014/main" id="{00000000-0008-0000-18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1" y="28986480"/>
          <a:ext cx="1859441"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1800-000003000000}"/>
            </a:ext>
          </a:extLst>
        </xdr:cNvPr>
        <xdr:cNvGrpSpPr>
          <a:grpSpLocks/>
        </xdr:cNvGrpSpPr>
      </xdr:nvGrpSpPr>
      <xdr:grpSpPr bwMode="auto">
        <a:xfrm>
          <a:off x="0" y="0"/>
          <a:ext cx="5510898" cy="1277615"/>
          <a:chOff x="57150" y="47625"/>
          <a:chExt cx="6316603" cy="1200288"/>
        </a:xfrm>
      </xdr:grpSpPr>
      <xdr:pic>
        <xdr:nvPicPr>
          <xdr:cNvPr id="4" name="1 Imagen" descr="ESCUDO-transp-lema-blanco.png">
            <a:extLst>
              <a:ext uri="{FF2B5EF4-FFF2-40B4-BE49-F238E27FC236}">
                <a16:creationId xmlns:a16="http://schemas.microsoft.com/office/drawing/2014/main" id="{00000000-0008-0000-18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18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58616</xdr:rowOff>
    </xdr:from>
    <xdr:to>
      <xdr:col>19</xdr:col>
      <xdr:colOff>696056</xdr:colOff>
      <xdr:row>1</xdr:row>
      <xdr:rowOff>2545</xdr:rowOff>
    </xdr:to>
    <xdr:grpSp>
      <xdr:nvGrpSpPr>
        <xdr:cNvPr id="2" name="1 Grupo">
          <a:extLst>
            <a:ext uri="{FF2B5EF4-FFF2-40B4-BE49-F238E27FC236}">
              <a16:creationId xmlns:a16="http://schemas.microsoft.com/office/drawing/2014/main" id="{E68DCF91-E3CF-4FF7-AED4-E148CC46CA85}"/>
            </a:ext>
          </a:extLst>
        </xdr:cNvPr>
        <xdr:cNvGrpSpPr>
          <a:grpSpLocks/>
        </xdr:cNvGrpSpPr>
      </xdr:nvGrpSpPr>
      <xdr:grpSpPr bwMode="auto">
        <a:xfrm>
          <a:off x="0" y="58616"/>
          <a:ext cx="28725111" cy="873197"/>
          <a:chOff x="57150" y="170793"/>
          <a:chExt cx="8104898" cy="1863624"/>
        </a:xfrm>
      </xdr:grpSpPr>
      <xdr:pic>
        <xdr:nvPicPr>
          <xdr:cNvPr id="3" name="1 Imagen" descr="ESCUDO-transp-lema-blanco.png">
            <a:extLst>
              <a:ext uri="{FF2B5EF4-FFF2-40B4-BE49-F238E27FC236}">
                <a16:creationId xmlns:a16="http://schemas.microsoft.com/office/drawing/2014/main" id="{A1F5C158-0439-4496-B4FE-D6D5D8BE5BB0}"/>
              </a:ext>
            </a:extLst>
          </xdr:cNvPr>
          <xdr:cNvPicPr>
            <a:picLocks noChangeAspect="1"/>
          </xdr:cNvPicPr>
        </xdr:nvPicPr>
        <xdr:blipFill>
          <a:blip xmlns:r="http://schemas.openxmlformats.org/officeDocument/2006/relationships" r:embed="rId1" cstate="print"/>
          <a:srcRect/>
          <a:stretch>
            <a:fillRect/>
          </a:stretch>
        </xdr:blipFill>
        <xdr:spPr bwMode="auto">
          <a:xfrm>
            <a:off x="57150" y="170793"/>
            <a:ext cx="239804" cy="1863624"/>
          </a:xfrm>
          <a:prstGeom prst="rect">
            <a:avLst/>
          </a:prstGeom>
          <a:noFill/>
          <a:ln w="9525">
            <a:noFill/>
            <a:miter lim="800000"/>
            <a:headEnd/>
            <a:tailEnd/>
          </a:ln>
        </xdr:spPr>
      </xdr:pic>
      <xdr:sp macro="" textlink="">
        <xdr:nvSpPr>
          <xdr:cNvPr id="4" name="3 CuadroTexto">
            <a:extLst>
              <a:ext uri="{FF2B5EF4-FFF2-40B4-BE49-F238E27FC236}">
                <a16:creationId xmlns:a16="http://schemas.microsoft.com/office/drawing/2014/main" id="{7EC33B32-A7E2-42E7-912B-961A07A53FBD}"/>
              </a:ext>
            </a:extLst>
          </xdr:cNvPr>
          <xdr:cNvSpPr txBox="1"/>
        </xdr:nvSpPr>
        <xdr:spPr>
          <a:xfrm>
            <a:off x="311869" y="310548"/>
            <a:ext cx="7850179" cy="15537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de Ordenamiento Ambiental Territorial y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2</xdr:col>
      <xdr:colOff>556261</xdr:colOff>
      <xdr:row>63</xdr:row>
      <xdr:rowOff>0</xdr:rowOff>
    </xdr:from>
    <xdr:to>
      <xdr:col>2</xdr:col>
      <xdr:colOff>2088014</xdr:colOff>
      <xdr:row>64</xdr:row>
      <xdr:rowOff>83843</xdr:rowOff>
    </xdr:to>
    <xdr:pic>
      <xdr:nvPicPr>
        <xdr:cNvPr id="2" name="Imagen 1">
          <a:extLst>
            <a:ext uri="{FF2B5EF4-FFF2-40B4-BE49-F238E27FC236}">
              <a16:creationId xmlns:a16="http://schemas.microsoft.com/office/drawing/2014/main" id="{00000000-0008-0000-19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7841" y="22913340"/>
          <a:ext cx="1531753"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1900-000003000000}"/>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a16="http://schemas.microsoft.com/office/drawing/2014/main" id="{00000000-0008-0000-19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19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868681</xdr:colOff>
      <xdr:row>104</xdr:row>
      <xdr:rowOff>15240</xdr:rowOff>
    </xdr:from>
    <xdr:to>
      <xdr:col>2</xdr:col>
      <xdr:colOff>1806022</xdr:colOff>
      <xdr:row>105</xdr:row>
      <xdr:rowOff>129566</xdr:rowOff>
    </xdr:to>
    <xdr:pic>
      <xdr:nvPicPr>
        <xdr:cNvPr id="2" name="Imagen 1">
          <a:extLst>
            <a:ext uri="{FF2B5EF4-FFF2-40B4-BE49-F238E27FC236}">
              <a16:creationId xmlns:a16="http://schemas.microsoft.com/office/drawing/2014/main" id="{00000000-0008-0000-1A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080261" y="39319200"/>
          <a:ext cx="937341"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480060</xdr:colOff>
      <xdr:row>111</xdr:row>
      <xdr:rowOff>68580</xdr:rowOff>
    </xdr:from>
    <xdr:to>
      <xdr:col>3</xdr:col>
      <xdr:colOff>1021334</xdr:colOff>
      <xdr:row>113</xdr:row>
      <xdr:rowOff>26</xdr:rowOff>
    </xdr:to>
    <xdr:pic>
      <xdr:nvPicPr>
        <xdr:cNvPr id="3" name="Imagen 2">
          <a:extLst>
            <a:ext uri="{FF2B5EF4-FFF2-40B4-BE49-F238E27FC236}">
              <a16:creationId xmlns:a16="http://schemas.microsoft.com/office/drawing/2014/main" id="{00000000-0008-0000-1A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91640" y="41689020"/>
          <a:ext cx="2933954"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1A00-000004000000}"/>
            </a:ext>
          </a:extLst>
        </xdr:cNvPr>
        <xdr:cNvGrpSpPr>
          <a:grpSpLocks/>
        </xdr:cNvGrpSpPr>
      </xdr:nvGrpSpPr>
      <xdr:grpSpPr bwMode="auto">
        <a:xfrm>
          <a:off x="0" y="0"/>
          <a:ext cx="7095158" cy="1277615"/>
          <a:chOff x="57150" y="47625"/>
          <a:chExt cx="6316603" cy="1200288"/>
        </a:xfrm>
      </xdr:grpSpPr>
      <xdr:pic>
        <xdr:nvPicPr>
          <xdr:cNvPr id="5" name="1 Imagen" descr="ESCUDO-transp-lema-blanco.png">
            <a:extLst>
              <a:ext uri="{FF2B5EF4-FFF2-40B4-BE49-F238E27FC236}">
                <a16:creationId xmlns:a16="http://schemas.microsoft.com/office/drawing/2014/main" id="{00000000-0008-0000-1A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1A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2</xdr:col>
      <xdr:colOff>182880</xdr:colOff>
      <xdr:row>120</xdr:row>
      <xdr:rowOff>144780</xdr:rowOff>
    </xdr:from>
    <xdr:to>
      <xdr:col>3</xdr:col>
      <xdr:colOff>1112808</xdr:colOff>
      <xdr:row>120</xdr:row>
      <xdr:rowOff>281952</xdr:rowOff>
    </xdr:to>
    <xdr:pic>
      <xdr:nvPicPr>
        <xdr:cNvPr id="2" name="Imagen 1">
          <a:extLst>
            <a:ext uri="{FF2B5EF4-FFF2-40B4-BE49-F238E27FC236}">
              <a16:creationId xmlns:a16="http://schemas.microsoft.com/office/drawing/2014/main" id="{00000000-0008-0000-1B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94460" y="48943260"/>
          <a:ext cx="3322608" cy="13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754380</xdr:colOff>
      <xdr:row>133</xdr:row>
      <xdr:rowOff>7620</xdr:rowOff>
    </xdr:from>
    <xdr:to>
      <xdr:col>3</xdr:col>
      <xdr:colOff>1089896</xdr:colOff>
      <xdr:row>133</xdr:row>
      <xdr:rowOff>251481</xdr:rowOff>
    </xdr:to>
    <xdr:pic>
      <xdr:nvPicPr>
        <xdr:cNvPr id="3" name="Imagen 2">
          <a:extLst>
            <a:ext uri="{FF2B5EF4-FFF2-40B4-BE49-F238E27FC236}">
              <a16:creationId xmlns:a16="http://schemas.microsoft.com/office/drawing/2014/main" id="{00000000-0008-0000-1B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65960" y="53393340"/>
          <a:ext cx="2728196" cy="2438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1B00-000004000000}"/>
            </a:ext>
          </a:extLst>
        </xdr:cNvPr>
        <xdr:cNvGrpSpPr>
          <a:grpSpLocks/>
        </xdr:cNvGrpSpPr>
      </xdr:nvGrpSpPr>
      <xdr:grpSpPr bwMode="auto">
        <a:xfrm>
          <a:off x="0" y="0"/>
          <a:ext cx="6171817" cy="1277615"/>
          <a:chOff x="57150" y="47625"/>
          <a:chExt cx="6316603" cy="1200288"/>
        </a:xfrm>
      </xdr:grpSpPr>
      <xdr:pic>
        <xdr:nvPicPr>
          <xdr:cNvPr id="5" name="1 Imagen" descr="ESCUDO-transp-lema-blanco.png">
            <a:extLst>
              <a:ext uri="{FF2B5EF4-FFF2-40B4-BE49-F238E27FC236}">
                <a16:creationId xmlns:a16="http://schemas.microsoft.com/office/drawing/2014/main" id="{00000000-0008-0000-1B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1B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2</xdr:col>
      <xdr:colOff>182880</xdr:colOff>
      <xdr:row>113</xdr:row>
      <xdr:rowOff>91440</xdr:rowOff>
    </xdr:from>
    <xdr:to>
      <xdr:col>3</xdr:col>
      <xdr:colOff>998498</xdr:colOff>
      <xdr:row>113</xdr:row>
      <xdr:rowOff>228612</xdr:rowOff>
    </xdr:to>
    <xdr:pic>
      <xdr:nvPicPr>
        <xdr:cNvPr id="2" name="Imagen 1">
          <a:extLst>
            <a:ext uri="{FF2B5EF4-FFF2-40B4-BE49-F238E27FC236}">
              <a16:creationId xmlns:a16="http://schemas.microsoft.com/office/drawing/2014/main" id="{00000000-0008-0000-1C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2540" y="40934640"/>
          <a:ext cx="3208298" cy="13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464821</xdr:colOff>
      <xdr:row>126</xdr:row>
      <xdr:rowOff>0</xdr:rowOff>
    </xdr:from>
    <xdr:to>
      <xdr:col>3</xdr:col>
      <xdr:colOff>922268</xdr:colOff>
      <xdr:row>127</xdr:row>
      <xdr:rowOff>114326</xdr:rowOff>
    </xdr:to>
    <xdr:pic>
      <xdr:nvPicPr>
        <xdr:cNvPr id="3" name="Imagen 2">
          <a:extLst>
            <a:ext uri="{FF2B5EF4-FFF2-40B4-BE49-F238E27FC236}">
              <a16:creationId xmlns:a16="http://schemas.microsoft.com/office/drawing/2014/main" id="{00000000-0008-0000-1C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54481" y="45674280"/>
          <a:ext cx="2850127"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1C00-000004000000}"/>
            </a:ext>
          </a:extLst>
        </xdr:cNvPr>
        <xdr:cNvGrpSpPr>
          <a:grpSpLocks/>
        </xdr:cNvGrpSpPr>
      </xdr:nvGrpSpPr>
      <xdr:grpSpPr bwMode="auto">
        <a:xfrm>
          <a:off x="0" y="0"/>
          <a:ext cx="5578934" cy="1277615"/>
          <a:chOff x="57150" y="47625"/>
          <a:chExt cx="6316603" cy="1200288"/>
        </a:xfrm>
      </xdr:grpSpPr>
      <xdr:pic>
        <xdr:nvPicPr>
          <xdr:cNvPr id="5" name="1 Imagen" descr="ESCUDO-transp-lema-blanco.png">
            <a:extLst>
              <a:ext uri="{FF2B5EF4-FFF2-40B4-BE49-F238E27FC236}">
                <a16:creationId xmlns:a16="http://schemas.microsoft.com/office/drawing/2014/main" id="{00000000-0008-0000-1C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1C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2</xdr:col>
      <xdr:colOff>784860</xdr:colOff>
      <xdr:row>107</xdr:row>
      <xdr:rowOff>53340</xdr:rowOff>
    </xdr:from>
    <xdr:to>
      <xdr:col>2</xdr:col>
      <xdr:colOff>1402080</xdr:colOff>
      <xdr:row>108</xdr:row>
      <xdr:rowOff>144780</xdr:rowOff>
    </xdr:to>
    <xdr:pic>
      <xdr:nvPicPr>
        <xdr:cNvPr id="2" name="Imagen 1">
          <a:extLst>
            <a:ext uri="{FF2B5EF4-FFF2-40B4-BE49-F238E27FC236}">
              <a16:creationId xmlns:a16="http://schemas.microsoft.com/office/drawing/2014/main" id="{00000000-0008-0000-1D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96440" y="36568380"/>
          <a:ext cx="617220" cy="27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1D00-000003000000}"/>
            </a:ext>
          </a:extLst>
        </xdr:cNvPr>
        <xdr:cNvGrpSpPr>
          <a:grpSpLocks/>
        </xdr:cNvGrpSpPr>
      </xdr:nvGrpSpPr>
      <xdr:grpSpPr bwMode="auto">
        <a:xfrm>
          <a:off x="0" y="0"/>
          <a:ext cx="5611830" cy="1281353"/>
          <a:chOff x="57150" y="47625"/>
          <a:chExt cx="6316603" cy="1200288"/>
        </a:xfrm>
      </xdr:grpSpPr>
      <xdr:pic>
        <xdr:nvPicPr>
          <xdr:cNvPr id="4" name="1 Imagen" descr="ESCUDO-transp-lema-blanco.png">
            <a:extLst>
              <a:ext uri="{FF2B5EF4-FFF2-40B4-BE49-F238E27FC236}">
                <a16:creationId xmlns:a16="http://schemas.microsoft.com/office/drawing/2014/main" id="{00000000-0008-0000-1D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1D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2</xdr:col>
      <xdr:colOff>548640</xdr:colOff>
      <xdr:row>160</xdr:row>
      <xdr:rowOff>15240</xdr:rowOff>
    </xdr:from>
    <xdr:to>
      <xdr:col>2</xdr:col>
      <xdr:colOff>2232806</xdr:colOff>
      <xdr:row>162</xdr:row>
      <xdr:rowOff>22892</xdr:rowOff>
    </xdr:to>
    <xdr:pic>
      <xdr:nvPicPr>
        <xdr:cNvPr id="2" name="Imagen 1">
          <a:extLst>
            <a:ext uri="{FF2B5EF4-FFF2-40B4-BE49-F238E27FC236}">
              <a16:creationId xmlns:a16="http://schemas.microsoft.com/office/drawing/2014/main" id="{00000000-0008-0000-1E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0220" y="45026580"/>
          <a:ext cx="1684166"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723900</xdr:colOff>
      <xdr:row>167</xdr:row>
      <xdr:rowOff>53340</xdr:rowOff>
    </xdr:from>
    <xdr:to>
      <xdr:col>2</xdr:col>
      <xdr:colOff>2087998</xdr:colOff>
      <xdr:row>168</xdr:row>
      <xdr:rowOff>160045</xdr:rowOff>
    </xdr:to>
    <xdr:pic>
      <xdr:nvPicPr>
        <xdr:cNvPr id="3" name="Imagen 2">
          <a:extLst>
            <a:ext uri="{FF2B5EF4-FFF2-40B4-BE49-F238E27FC236}">
              <a16:creationId xmlns:a16="http://schemas.microsoft.com/office/drawing/2014/main" id="{00000000-0008-0000-1E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35480" y="48112680"/>
          <a:ext cx="1364098" cy="2895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1E00-000004000000}"/>
            </a:ext>
          </a:extLst>
        </xdr:cNvPr>
        <xdr:cNvGrpSpPr>
          <a:grpSpLocks/>
        </xdr:cNvGrpSpPr>
      </xdr:nvGrpSpPr>
      <xdr:grpSpPr bwMode="auto">
        <a:xfrm>
          <a:off x="0" y="0"/>
          <a:ext cx="5322161" cy="1278067"/>
          <a:chOff x="57150" y="47625"/>
          <a:chExt cx="6316603" cy="1200288"/>
        </a:xfrm>
      </xdr:grpSpPr>
      <xdr:pic>
        <xdr:nvPicPr>
          <xdr:cNvPr id="5" name="1 Imagen" descr="ESCUDO-transp-lema-blanco.png">
            <a:extLst>
              <a:ext uri="{FF2B5EF4-FFF2-40B4-BE49-F238E27FC236}">
                <a16:creationId xmlns:a16="http://schemas.microsoft.com/office/drawing/2014/main" id="{00000000-0008-0000-1E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1E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2</xdr:col>
      <xdr:colOff>533401</xdr:colOff>
      <xdr:row>60</xdr:row>
      <xdr:rowOff>106680</xdr:rowOff>
    </xdr:from>
    <xdr:to>
      <xdr:col>2</xdr:col>
      <xdr:colOff>2019430</xdr:colOff>
      <xdr:row>62</xdr:row>
      <xdr:rowOff>22884</xdr:rowOff>
    </xdr:to>
    <xdr:pic>
      <xdr:nvPicPr>
        <xdr:cNvPr id="2" name="Imagen 1">
          <a:extLst>
            <a:ext uri="{FF2B5EF4-FFF2-40B4-BE49-F238E27FC236}">
              <a16:creationId xmlns:a16="http://schemas.microsoft.com/office/drawing/2014/main" id="{00000000-0008-0000-1F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44981" y="22181820"/>
          <a:ext cx="1486029" cy="28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1F00-000003000000}"/>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a16="http://schemas.microsoft.com/office/drawing/2014/main" id="{00000000-0008-0000-1F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1F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2</xdr:col>
      <xdr:colOff>609600</xdr:colOff>
      <xdr:row>80</xdr:row>
      <xdr:rowOff>91440</xdr:rowOff>
    </xdr:from>
    <xdr:to>
      <xdr:col>2</xdr:col>
      <xdr:colOff>2088008</xdr:colOff>
      <xdr:row>81</xdr:row>
      <xdr:rowOff>175283</xdr:rowOff>
    </xdr:to>
    <xdr:pic>
      <xdr:nvPicPr>
        <xdr:cNvPr id="2" name="Imagen 1">
          <a:extLst>
            <a:ext uri="{FF2B5EF4-FFF2-40B4-BE49-F238E27FC236}">
              <a16:creationId xmlns:a16="http://schemas.microsoft.com/office/drawing/2014/main" id="{00000000-0008-0000-20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21180" y="43990260"/>
          <a:ext cx="1478408"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2000-000003000000}"/>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a16="http://schemas.microsoft.com/office/drawing/2014/main" id="{00000000-0008-0000-20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20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2</xdr:col>
      <xdr:colOff>137161</xdr:colOff>
      <xdr:row>121</xdr:row>
      <xdr:rowOff>7620</xdr:rowOff>
    </xdr:from>
    <xdr:to>
      <xdr:col>2</xdr:col>
      <xdr:colOff>2222936</xdr:colOff>
      <xdr:row>121</xdr:row>
      <xdr:rowOff>103640</xdr:rowOff>
    </xdr:to>
    <xdr:pic>
      <xdr:nvPicPr>
        <xdr:cNvPr id="2" name="Imagen 1">
          <a:extLst>
            <a:ext uri="{FF2B5EF4-FFF2-40B4-BE49-F238E27FC236}">
              <a16:creationId xmlns:a16="http://schemas.microsoft.com/office/drawing/2014/main" id="{00000000-0008-0000-21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03961" y="34838640"/>
          <a:ext cx="2085775" cy="96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2100-000003000000}"/>
            </a:ext>
          </a:extLst>
        </xdr:cNvPr>
        <xdr:cNvGrpSpPr>
          <a:grpSpLocks/>
        </xdr:cNvGrpSpPr>
      </xdr:nvGrpSpPr>
      <xdr:grpSpPr bwMode="auto">
        <a:xfrm>
          <a:off x="0" y="0"/>
          <a:ext cx="6239852" cy="1277615"/>
          <a:chOff x="57150" y="47625"/>
          <a:chExt cx="6316603" cy="1200288"/>
        </a:xfrm>
      </xdr:grpSpPr>
      <xdr:pic>
        <xdr:nvPicPr>
          <xdr:cNvPr id="4" name="1 Imagen" descr="ESCUDO-transp-lema-blanco.png">
            <a:extLst>
              <a:ext uri="{FF2B5EF4-FFF2-40B4-BE49-F238E27FC236}">
                <a16:creationId xmlns:a16="http://schemas.microsoft.com/office/drawing/2014/main" id="{00000000-0008-0000-21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21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2</xdr:col>
      <xdr:colOff>0</xdr:colOff>
      <xdr:row>80</xdr:row>
      <xdr:rowOff>0</xdr:rowOff>
    </xdr:from>
    <xdr:to>
      <xdr:col>4</xdr:col>
      <xdr:colOff>83820</xdr:colOff>
      <xdr:row>82</xdr:row>
      <xdr:rowOff>7620</xdr:rowOff>
    </xdr:to>
    <xdr:pic>
      <xdr:nvPicPr>
        <xdr:cNvPr id="2" name="Imagen 1">
          <a:extLst>
            <a:ext uri="{FF2B5EF4-FFF2-40B4-BE49-F238E27FC236}">
              <a16:creationId xmlns:a16="http://schemas.microsoft.com/office/drawing/2014/main" id="{00000000-0008-0000-22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2480" y="47343060"/>
          <a:ext cx="1668780" cy="373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89</xdr:row>
      <xdr:rowOff>0</xdr:rowOff>
    </xdr:from>
    <xdr:to>
      <xdr:col>3</xdr:col>
      <xdr:colOff>434340</xdr:colOff>
      <xdr:row>90</xdr:row>
      <xdr:rowOff>106680</xdr:rowOff>
    </xdr:to>
    <xdr:pic>
      <xdr:nvPicPr>
        <xdr:cNvPr id="3" name="Imagen 2">
          <a:extLst>
            <a:ext uri="{FF2B5EF4-FFF2-40B4-BE49-F238E27FC236}">
              <a16:creationId xmlns:a16="http://schemas.microsoft.com/office/drawing/2014/main" id="{00000000-0008-0000-22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2480" y="56639460"/>
          <a:ext cx="1226820" cy="289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418683</xdr:colOff>
      <xdr:row>97</xdr:row>
      <xdr:rowOff>0</xdr:rowOff>
    </xdr:from>
    <xdr:to>
      <xdr:col>2</xdr:col>
      <xdr:colOff>1958056</xdr:colOff>
      <xdr:row>98</xdr:row>
      <xdr:rowOff>97745</xdr:rowOff>
    </xdr:to>
    <xdr:pic>
      <xdr:nvPicPr>
        <xdr:cNvPr id="4" name="Imagen 3">
          <a:extLst>
            <a:ext uri="{FF2B5EF4-FFF2-40B4-BE49-F238E27FC236}">
              <a16:creationId xmlns:a16="http://schemas.microsoft.com/office/drawing/2014/main" id="{00000000-0008-0000-2200-000004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41232" y="37480352"/>
          <a:ext cx="1539373" cy="28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5" name="1 Grupo">
          <a:extLst>
            <a:ext uri="{FF2B5EF4-FFF2-40B4-BE49-F238E27FC236}">
              <a16:creationId xmlns:a16="http://schemas.microsoft.com/office/drawing/2014/main" id="{00000000-0008-0000-2200-000005000000}"/>
            </a:ext>
          </a:extLst>
        </xdr:cNvPr>
        <xdr:cNvGrpSpPr>
          <a:grpSpLocks/>
        </xdr:cNvGrpSpPr>
      </xdr:nvGrpSpPr>
      <xdr:grpSpPr bwMode="auto">
        <a:xfrm>
          <a:off x="0" y="0"/>
          <a:ext cx="5326230" cy="1277615"/>
          <a:chOff x="57150" y="47625"/>
          <a:chExt cx="6316603" cy="1200288"/>
        </a:xfrm>
      </xdr:grpSpPr>
      <xdr:pic>
        <xdr:nvPicPr>
          <xdr:cNvPr id="6" name="1 Imagen" descr="ESCUDO-transp-lema-blanco.png">
            <a:extLst>
              <a:ext uri="{FF2B5EF4-FFF2-40B4-BE49-F238E27FC236}">
                <a16:creationId xmlns:a16="http://schemas.microsoft.com/office/drawing/2014/main" id="{00000000-0008-0000-2200-000006000000}"/>
              </a:ext>
            </a:extLst>
          </xdr:cNvPr>
          <xdr:cNvPicPr>
            <a:picLocks noChangeAspect="1"/>
          </xdr:cNvPicPr>
        </xdr:nvPicPr>
        <xdr:blipFill>
          <a:blip xmlns:r="http://schemas.openxmlformats.org/officeDocument/2006/relationships" r:embed="rId4"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7" name="3 CuadroTexto">
            <a:extLst>
              <a:ext uri="{FF2B5EF4-FFF2-40B4-BE49-F238E27FC236}">
                <a16:creationId xmlns:a16="http://schemas.microsoft.com/office/drawing/2014/main" id="{00000000-0008-0000-2200-000007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1</xdr:row>
      <xdr:rowOff>0</xdr:rowOff>
    </xdr:to>
    <xdr:grpSp>
      <xdr:nvGrpSpPr>
        <xdr:cNvPr id="2" name="1 Grupo">
          <a:extLst>
            <a:ext uri="{FF2B5EF4-FFF2-40B4-BE49-F238E27FC236}">
              <a16:creationId xmlns:a16="http://schemas.microsoft.com/office/drawing/2014/main" id="{00000000-0008-0000-0800-000002000000}"/>
            </a:ext>
          </a:extLst>
        </xdr:cNvPr>
        <xdr:cNvGrpSpPr>
          <a:grpSpLocks/>
        </xdr:cNvGrpSpPr>
      </xdr:nvGrpSpPr>
      <xdr:grpSpPr bwMode="auto">
        <a:xfrm>
          <a:off x="0" y="0"/>
          <a:ext cx="7244773" cy="202045"/>
          <a:chOff x="57150" y="47625"/>
          <a:chExt cx="6181725" cy="1581150"/>
        </a:xfrm>
      </xdr:grpSpPr>
      <xdr:pic>
        <xdr:nvPicPr>
          <xdr:cNvPr id="3" name="1 Imagen" descr="ESCUDO-transp-lema-blanco.png">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57150" y="47625"/>
            <a:ext cx="1209675" cy="1581150"/>
          </a:xfrm>
          <a:prstGeom prst="rect">
            <a:avLst/>
          </a:prstGeom>
          <a:noFill/>
          <a:ln w="9525">
            <a:noFill/>
            <a:miter lim="800000"/>
            <a:headEnd/>
            <a:tailEnd/>
          </a:ln>
        </xdr:spPr>
      </xdr:pic>
      <xdr:sp macro="" textlink="">
        <xdr:nvSpPr>
          <xdr:cNvPr id="4" name="3 CuadroTexto">
            <a:extLst>
              <a:ext uri="{FF2B5EF4-FFF2-40B4-BE49-F238E27FC236}">
                <a16:creationId xmlns:a16="http://schemas.microsoft.com/office/drawing/2014/main" id="{00000000-0008-0000-0800-000004000000}"/>
              </a:ext>
            </a:extLst>
          </xdr:cNvPr>
          <xdr:cNvSpPr txBox="1"/>
        </xdr:nvSpPr>
        <xdr:spPr>
          <a:xfrm>
            <a:off x="1426640" y="495300"/>
            <a:ext cx="4812235"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30.xml><?xml version="1.0" encoding="utf-8"?>
<xdr:wsDr xmlns:xdr="http://schemas.openxmlformats.org/drawingml/2006/spreadsheetDrawing" xmlns:a="http://schemas.openxmlformats.org/drawingml/2006/main">
  <xdr:twoCellAnchor>
    <xdr:from>
      <xdr:col>2</xdr:col>
      <xdr:colOff>160021</xdr:colOff>
      <xdr:row>91</xdr:row>
      <xdr:rowOff>45720</xdr:rowOff>
    </xdr:from>
    <xdr:to>
      <xdr:col>2</xdr:col>
      <xdr:colOff>2021748</xdr:colOff>
      <xdr:row>91</xdr:row>
      <xdr:rowOff>141740</xdr:rowOff>
    </xdr:to>
    <xdr:pic>
      <xdr:nvPicPr>
        <xdr:cNvPr id="2" name="Imagen 1">
          <a:extLst>
            <a:ext uri="{FF2B5EF4-FFF2-40B4-BE49-F238E27FC236}">
              <a16:creationId xmlns:a16="http://schemas.microsoft.com/office/drawing/2014/main" id="{00000000-0008-0000-23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26821" y="28735020"/>
          <a:ext cx="1861727" cy="96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563880</xdr:colOff>
      <xdr:row>104</xdr:row>
      <xdr:rowOff>60960</xdr:rowOff>
    </xdr:from>
    <xdr:to>
      <xdr:col>3</xdr:col>
      <xdr:colOff>777466</xdr:colOff>
      <xdr:row>105</xdr:row>
      <xdr:rowOff>175286</xdr:rowOff>
    </xdr:to>
    <xdr:pic>
      <xdr:nvPicPr>
        <xdr:cNvPr id="3" name="Imagen 2">
          <a:extLst>
            <a:ext uri="{FF2B5EF4-FFF2-40B4-BE49-F238E27FC236}">
              <a16:creationId xmlns:a16="http://schemas.microsoft.com/office/drawing/2014/main" id="{00000000-0008-0000-23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30680" y="32590740"/>
          <a:ext cx="2606266"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2300-000004000000}"/>
            </a:ext>
          </a:extLst>
        </xdr:cNvPr>
        <xdr:cNvGrpSpPr>
          <a:grpSpLocks/>
        </xdr:cNvGrpSpPr>
      </xdr:nvGrpSpPr>
      <xdr:grpSpPr bwMode="auto">
        <a:xfrm>
          <a:off x="0" y="0"/>
          <a:ext cx="5394266" cy="1277615"/>
          <a:chOff x="57150" y="47625"/>
          <a:chExt cx="6316603" cy="1200288"/>
        </a:xfrm>
      </xdr:grpSpPr>
      <xdr:pic>
        <xdr:nvPicPr>
          <xdr:cNvPr id="5" name="1 Imagen" descr="ESCUDO-transp-lema-blanco.png">
            <a:extLst>
              <a:ext uri="{FF2B5EF4-FFF2-40B4-BE49-F238E27FC236}">
                <a16:creationId xmlns:a16="http://schemas.microsoft.com/office/drawing/2014/main" id="{00000000-0008-0000-23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23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166</xdr:row>
      <xdr:rowOff>167640</xdr:rowOff>
    </xdr:from>
    <xdr:to>
      <xdr:col>5</xdr:col>
      <xdr:colOff>84107</xdr:colOff>
      <xdr:row>167</xdr:row>
      <xdr:rowOff>121932</xdr:rowOff>
    </xdr:to>
    <xdr:pic>
      <xdr:nvPicPr>
        <xdr:cNvPr id="2" name="Imagen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11580" y="27637740"/>
          <a:ext cx="3314987" cy="13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373381</xdr:colOff>
      <xdr:row>201</xdr:row>
      <xdr:rowOff>38100</xdr:rowOff>
    </xdr:from>
    <xdr:to>
      <xdr:col>3</xdr:col>
      <xdr:colOff>1257378</xdr:colOff>
      <xdr:row>202</xdr:row>
      <xdr:rowOff>68598</xdr:rowOff>
    </xdr:to>
    <xdr:pic>
      <xdr:nvPicPr>
        <xdr:cNvPr id="3" name="Imagen 2">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84961" y="34404300"/>
          <a:ext cx="883997" cy="213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137161</xdr:colOff>
      <xdr:row>209</xdr:row>
      <xdr:rowOff>38100</xdr:rowOff>
    </xdr:from>
    <xdr:to>
      <xdr:col>3</xdr:col>
      <xdr:colOff>1691776</xdr:colOff>
      <xdr:row>209</xdr:row>
      <xdr:rowOff>335306</xdr:rowOff>
    </xdr:to>
    <xdr:pic>
      <xdr:nvPicPr>
        <xdr:cNvPr id="4" name="Imagen 3">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48741" y="35684460"/>
          <a:ext cx="1554615"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228601</xdr:colOff>
      <xdr:row>101</xdr:row>
      <xdr:rowOff>53340</xdr:rowOff>
    </xdr:from>
    <xdr:to>
      <xdr:col>5</xdr:col>
      <xdr:colOff>312708</xdr:colOff>
      <xdr:row>101</xdr:row>
      <xdr:rowOff>190512</xdr:rowOff>
    </xdr:to>
    <xdr:pic>
      <xdr:nvPicPr>
        <xdr:cNvPr id="5" name="Imagen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40181" y="13586460"/>
          <a:ext cx="3314987" cy="13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0</xdr:row>
      <xdr:rowOff>1261675</xdr:rowOff>
    </xdr:to>
    <xdr:grpSp>
      <xdr:nvGrpSpPr>
        <xdr:cNvPr id="6" name="1 Grupo">
          <a:extLst>
            <a:ext uri="{FF2B5EF4-FFF2-40B4-BE49-F238E27FC236}">
              <a16:creationId xmlns:a16="http://schemas.microsoft.com/office/drawing/2014/main" id="{00000000-0008-0000-0900-000006000000}"/>
            </a:ext>
          </a:extLst>
        </xdr:cNvPr>
        <xdr:cNvGrpSpPr>
          <a:grpSpLocks/>
        </xdr:cNvGrpSpPr>
      </xdr:nvGrpSpPr>
      <xdr:grpSpPr bwMode="auto">
        <a:xfrm>
          <a:off x="0" y="0"/>
          <a:ext cx="7532531" cy="1261675"/>
          <a:chOff x="57150" y="47625"/>
          <a:chExt cx="6316603" cy="1200288"/>
        </a:xfrm>
      </xdr:grpSpPr>
      <xdr:pic>
        <xdr:nvPicPr>
          <xdr:cNvPr id="7" name="1 Imagen" descr="ESCUDO-transp-lema-blanco.png">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4"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8" name="3 CuadroTexto">
            <a:extLst>
              <a:ext uri="{FF2B5EF4-FFF2-40B4-BE49-F238E27FC236}">
                <a16:creationId xmlns:a16="http://schemas.microsoft.com/office/drawing/2014/main" id="{00000000-0008-0000-0900-000008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de Ordenamiento Ambiental Territorial y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601981</xdr:colOff>
      <xdr:row>69</xdr:row>
      <xdr:rowOff>0</xdr:rowOff>
    </xdr:from>
    <xdr:to>
      <xdr:col>3</xdr:col>
      <xdr:colOff>2065148</xdr:colOff>
      <xdr:row>70</xdr:row>
      <xdr:rowOff>83843</xdr:rowOff>
    </xdr:to>
    <xdr:pic>
      <xdr:nvPicPr>
        <xdr:cNvPr id="2" name="Imagen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89761" y="16245840"/>
          <a:ext cx="1463167"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0A00-000003000000}"/>
            </a:ext>
          </a:extLst>
        </xdr:cNvPr>
        <xdr:cNvGrpSpPr>
          <a:grpSpLocks/>
        </xdr:cNvGrpSpPr>
      </xdr:nvGrpSpPr>
      <xdr:grpSpPr bwMode="auto">
        <a:xfrm>
          <a:off x="0" y="0"/>
          <a:ext cx="5491459" cy="1277615"/>
          <a:chOff x="57150" y="47625"/>
          <a:chExt cx="6316603" cy="1200288"/>
        </a:xfrm>
      </xdr:grpSpPr>
      <xdr:pic>
        <xdr:nvPicPr>
          <xdr:cNvPr id="4" name="1 Imagen" descr="ESCUDO-transp-lema-blanco.png">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0A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186612</xdr:colOff>
      <xdr:row>61</xdr:row>
      <xdr:rowOff>124408</xdr:rowOff>
    </xdr:from>
    <xdr:to>
      <xdr:col>2</xdr:col>
      <xdr:colOff>1772319</xdr:colOff>
      <xdr:row>63</xdr:row>
      <xdr:rowOff>23241</xdr:rowOff>
    </xdr:to>
    <xdr:pic>
      <xdr:nvPicPr>
        <xdr:cNvPr id="2" name="Imagen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99592" y="19244388"/>
          <a:ext cx="1585707" cy="2720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0B00-000003000000}"/>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0B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548640</xdr:colOff>
      <xdr:row>62</xdr:row>
      <xdr:rowOff>160020</xdr:rowOff>
    </xdr:from>
    <xdr:to>
      <xdr:col>2</xdr:col>
      <xdr:colOff>1714601</xdr:colOff>
      <xdr:row>64</xdr:row>
      <xdr:rowOff>60983</xdr:rowOff>
    </xdr:to>
    <xdr:pic>
      <xdr:nvPicPr>
        <xdr:cNvPr id="2" name="Imagen 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0220" y="20193000"/>
          <a:ext cx="1165961"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0C00-000003000000}"/>
            </a:ext>
          </a:extLst>
        </xdr:cNvPr>
        <xdr:cNvGrpSpPr>
          <a:grpSpLocks/>
        </xdr:cNvGrpSpPr>
      </xdr:nvGrpSpPr>
      <xdr:grpSpPr bwMode="auto">
        <a:xfrm>
          <a:off x="0" y="0"/>
          <a:ext cx="5481740" cy="1277615"/>
          <a:chOff x="57150" y="47625"/>
          <a:chExt cx="6316603" cy="1200288"/>
        </a:xfrm>
      </xdr:grpSpPr>
      <xdr:pic>
        <xdr:nvPicPr>
          <xdr:cNvPr id="4" name="1 Imagen" descr="ESCUDO-transp-lema-blanco.png">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0C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381000</xdr:colOff>
      <xdr:row>66</xdr:row>
      <xdr:rowOff>160020</xdr:rowOff>
    </xdr:from>
    <xdr:to>
      <xdr:col>2</xdr:col>
      <xdr:colOff>2065166</xdr:colOff>
      <xdr:row>68</xdr:row>
      <xdr:rowOff>60983</xdr:rowOff>
    </xdr:to>
    <xdr:pic>
      <xdr:nvPicPr>
        <xdr:cNvPr id="2" name="Imagen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92580" y="21983700"/>
          <a:ext cx="1684166"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0D00-000003000000}"/>
            </a:ext>
          </a:extLst>
        </xdr:cNvPr>
        <xdr:cNvGrpSpPr>
          <a:grpSpLocks/>
        </xdr:cNvGrpSpPr>
      </xdr:nvGrpSpPr>
      <xdr:grpSpPr bwMode="auto">
        <a:xfrm>
          <a:off x="0" y="0"/>
          <a:ext cx="8961281" cy="1277615"/>
          <a:chOff x="57150" y="47625"/>
          <a:chExt cx="6316603" cy="1200288"/>
        </a:xfrm>
      </xdr:grpSpPr>
      <xdr:pic>
        <xdr:nvPicPr>
          <xdr:cNvPr id="4" name="1 Imagen" descr="ESCUDO-transp-lema-blanco.png">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0D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30481</xdr:colOff>
      <xdr:row>87</xdr:row>
      <xdr:rowOff>144780</xdr:rowOff>
    </xdr:from>
    <xdr:to>
      <xdr:col>2</xdr:col>
      <xdr:colOff>2372310</xdr:colOff>
      <xdr:row>87</xdr:row>
      <xdr:rowOff>240800</xdr:rowOff>
    </xdr:to>
    <xdr:pic>
      <xdr:nvPicPr>
        <xdr:cNvPr id="2" name="Imagen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42061" y="21252180"/>
          <a:ext cx="2341829" cy="96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411481</xdr:colOff>
      <xdr:row>98</xdr:row>
      <xdr:rowOff>0</xdr:rowOff>
    </xdr:from>
    <xdr:to>
      <xdr:col>2</xdr:col>
      <xdr:colOff>1718424</xdr:colOff>
      <xdr:row>99</xdr:row>
      <xdr:rowOff>3826</xdr:rowOff>
    </xdr:to>
    <xdr:pic>
      <xdr:nvPicPr>
        <xdr:cNvPr id="3" name="Imagen 2">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23061" y="25534620"/>
          <a:ext cx="1306943" cy="186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624841</xdr:colOff>
      <xdr:row>104</xdr:row>
      <xdr:rowOff>15240</xdr:rowOff>
    </xdr:from>
    <xdr:to>
      <xdr:col>2</xdr:col>
      <xdr:colOff>1654392</xdr:colOff>
      <xdr:row>105</xdr:row>
      <xdr:rowOff>19066</xdr:rowOff>
    </xdr:to>
    <xdr:pic>
      <xdr:nvPicPr>
        <xdr:cNvPr id="4" name="Imagen 3">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36421" y="27104340"/>
          <a:ext cx="1029551" cy="186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594360</xdr:colOff>
      <xdr:row>110</xdr:row>
      <xdr:rowOff>144780</xdr:rowOff>
    </xdr:from>
    <xdr:to>
      <xdr:col>2</xdr:col>
      <xdr:colOff>1655918</xdr:colOff>
      <xdr:row>111</xdr:row>
      <xdr:rowOff>148606</xdr:rowOff>
    </xdr:to>
    <xdr:pic>
      <xdr:nvPicPr>
        <xdr:cNvPr id="5" name="Imagen 4">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5940" y="28635960"/>
          <a:ext cx="1061558" cy="186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365760</xdr:colOff>
      <xdr:row>117</xdr:row>
      <xdr:rowOff>53341</xdr:rowOff>
    </xdr:from>
    <xdr:to>
      <xdr:col>2</xdr:col>
      <xdr:colOff>2206150</xdr:colOff>
      <xdr:row>118</xdr:row>
      <xdr:rowOff>41164</xdr:rowOff>
    </xdr:to>
    <xdr:pic>
      <xdr:nvPicPr>
        <xdr:cNvPr id="6" name="Imagen 5">
          <a:extLst>
            <a:ext uri="{FF2B5EF4-FFF2-40B4-BE49-F238E27FC236}">
              <a16:creationId xmlns:a16="http://schemas.microsoft.com/office/drawing/2014/main" id="{00000000-0008-0000-0E00-000006000000}"/>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77340" y="30556201"/>
          <a:ext cx="1840390" cy="1707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7" name="1 Grupo">
          <a:extLst>
            <a:ext uri="{FF2B5EF4-FFF2-40B4-BE49-F238E27FC236}">
              <a16:creationId xmlns:a16="http://schemas.microsoft.com/office/drawing/2014/main" id="{00000000-0008-0000-0E00-000007000000}"/>
            </a:ext>
          </a:extLst>
        </xdr:cNvPr>
        <xdr:cNvGrpSpPr>
          <a:grpSpLocks/>
        </xdr:cNvGrpSpPr>
      </xdr:nvGrpSpPr>
      <xdr:grpSpPr bwMode="auto">
        <a:xfrm>
          <a:off x="0" y="0"/>
          <a:ext cx="5316510" cy="1277615"/>
          <a:chOff x="57150" y="47625"/>
          <a:chExt cx="6316603" cy="1200288"/>
        </a:xfrm>
      </xdr:grpSpPr>
      <xdr:pic>
        <xdr:nvPicPr>
          <xdr:cNvPr id="8" name="1 Imagen" descr="ESCUDO-transp-lema-blanco.png">
            <a:extLst>
              <a:ext uri="{FF2B5EF4-FFF2-40B4-BE49-F238E27FC236}">
                <a16:creationId xmlns:a16="http://schemas.microsoft.com/office/drawing/2014/main" id="{00000000-0008-0000-0E00-000008000000}"/>
              </a:ext>
            </a:extLst>
          </xdr:cNvPr>
          <xdr:cNvPicPr>
            <a:picLocks noChangeAspect="1"/>
          </xdr:cNvPicPr>
        </xdr:nvPicPr>
        <xdr:blipFill>
          <a:blip xmlns:r="http://schemas.openxmlformats.org/officeDocument/2006/relationships" r:embed="rId6"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9" name="3 CuadroTexto">
            <a:extLst>
              <a:ext uri="{FF2B5EF4-FFF2-40B4-BE49-F238E27FC236}">
                <a16:creationId xmlns:a16="http://schemas.microsoft.com/office/drawing/2014/main" id="{00000000-0008-0000-0E00-000009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Carlos%20A\Documents\PC%20CARLOS\CORPAMAG\SEGUIMIENTO%20METAS%20PAI%202020-2023\INFORMES%20SEGUIMIENTO%202020%20PAI\SOPORTES%20INFORMES%20SS%202020\MATRIZ%20DE%20SEGUIMIENTO%20II%20SEM%202020%20neyl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rchivos\Documentos\MADS\2022\INFORMES%20DE%20GESTI&#211;N%202021\6_CORPOCESAR\INFORME%20GESTION%20AJUSTES_04032022\Formatos%20SINA%20-%20PAI%202021_CORPOCESAR_Rev%200403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rchivos\Documentos\MADS\2022\INFORMES%20DE%20GESTI&#211;N%202021\5_CORPAMAG\Info%20Gestion_02032022\MATRIZ%20DE%20SEGUIMIENTO%20II%20SEM%202021%20CORPAMAG-MADS%20CARdinal_02032022_Re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Anexo 1 Matriz Inf Gestión"/>
      <sheetName val="Hoja1"/>
      <sheetName val="Anexo 2 Protocolo Inf Gestión"/>
      <sheetName val="Informe Ingresos."/>
      <sheetName val="PROTOCOLO INGRESOS"/>
      <sheetName val="informe Gastos"/>
      <sheetName val="PROTOCOLO GASTOS"/>
      <sheetName val="Anexo 3 Matriz IMG"/>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s>
    <sheetDataSet>
      <sheetData sheetId="0">
        <row r="5">
          <cell r="H5" t="str">
            <v>Corporación Autónoma Regional del Alto Magdalena - CAM</v>
          </cell>
        </row>
        <row r="6">
          <cell r="H6" t="str">
            <v>Corporación Autónoma Regional de Cundinamarca – CAR</v>
          </cell>
        </row>
        <row r="7">
          <cell r="H7" t="str">
            <v>Corporación Autónoma Regional del Canal del Dique – CARDIQUE</v>
          </cell>
        </row>
        <row r="8">
          <cell r="H8" t="str">
            <v>Corporación Autónoma Regional de Sucre – CARSUCRE</v>
          </cell>
        </row>
        <row r="9">
          <cell r="H9" t="str">
            <v>Corporación Autónoma Regional de Santander – CAS</v>
          </cell>
        </row>
        <row r="10">
          <cell r="H10" t="str">
            <v>Corporación para el Desarrollo Sostenible del Norte y el Oriente Amazónico – CDA</v>
          </cell>
        </row>
        <row r="11">
          <cell r="H11" t="str">
            <v>Corporación Autónoma Regional para la Defensa de la Meseta de Bucaramanga – CDMB</v>
          </cell>
        </row>
        <row r="12">
          <cell r="H12" t="str">
            <v>Corporación Autónoma Regional para el Desarrollo Sostenible del Chocó – CODECHOCÓ</v>
          </cell>
        </row>
        <row r="13">
          <cell r="H13" t="str">
            <v>Corporación para el Desarrollo Sostenible del Archipiélago de San Andrés, Providencia y Santa Catalina – CORALINA</v>
          </cell>
        </row>
        <row r="14">
          <cell r="H14" t="str">
            <v>Corporación Autónoma Regional del Centro de Antioquia – CORANTIOQUIA</v>
          </cell>
        </row>
        <row r="15">
          <cell r="H15" t="str">
            <v>Corporación para el Desarrollo Sostenible del Área de Manejo Especial de La Macarena – CORMACARENA</v>
          </cell>
        </row>
        <row r="16">
          <cell r="H16" t="str">
            <v>Corporación Autónoma Regional de las Cuencas de los Ríos Negro y Nare – CORNARE</v>
          </cell>
        </row>
        <row r="17">
          <cell r="H17" t="str">
            <v>Corporación Autónoma Regional del Magdalena – CORPAMAG</v>
          </cell>
        </row>
        <row r="18">
          <cell r="H18" t="str">
            <v>Corporación para el Desarrollo Sostenible del Sur de la Amazonia – CORPOAMAZONIA</v>
          </cell>
        </row>
        <row r="19">
          <cell r="H19" t="str">
            <v>Corporación Autónoma Regional de Boyacá – CORPOBOYACÁ</v>
          </cell>
        </row>
        <row r="20">
          <cell r="H20" t="str">
            <v>Corporación Autónoma Regional de Caldas – CORPOCALDAS</v>
          </cell>
        </row>
        <row r="21">
          <cell r="H21" t="str">
            <v>Corporación Autónoma Regional del Cesar – CORPOCESAR</v>
          </cell>
        </row>
        <row r="22">
          <cell r="H22" t="str">
            <v>Corporación Autónoma Regional de Chivor – CORPOCHIVOR</v>
          </cell>
        </row>
        <row r="23">
          <cell r="H23" t="str">
            <v>Corporación Autónoma Regional de La Guajira – CORPOGUAJIRA</v>
          </cell>
        </row>
        <row r="24">
          <cell r="H24" t="str">
            <v>Corporación Autónoma Regional del Guavio – CORPOGUAVIO</v>
          </cell>
        </row>
        <row r="25">
          <cell r="H25" t="str">
            <v>Corporación para el Desarrollo Sostenible de La Mojana y El San Jorge – CORPOMOJANA</v>
          </cell>
        </row>
        <row r="26">
          <cell r="H26" t="str">
            <v>Corporación Autónoma Regional de Nariño – CORPONARIÑO</v>
          </cell>
        </row>
        <row r="27">
          <cell r="H27" t="str">
            <v>Corporación Autónoma Regional de la Frontera Nororiental – CORPONOR</v>
          </cell>
        </row>
        <row r="28">
          <cell r="H28" t="str">
            <v>Corporación Autónoma Regional de la Orinoquia – CORPORINOQUIA</v>
          </cell>
        </row>
        <row r="29">
          <cell r="H29" t="str">
            <v>Corporación para el Desarrollo Sostenible del Urabá – CORPOURABA</v>
          </cell>
        </row>
        <row r="30">
          <cell r="H30" t="str">
            <v>Corporación Autónoma Regional del Tolima – CORTOLIMA</v>
          </cell>
        </row>
        <row r="31">
          <cell r="H31" t="str">
            <v>Corporación Autónoma Regional del Atlántico – CRA</v>
          </cell>
        </row>
        <row r="32">
          <cell r="H32" t="str">
            <v>Corporación Autónoma Regional del Cauca – CRC</v>
          </cell>
        </row>
        <row r="33">
          <cell r="H33" t="str">
            <v>Corporación Autónoma Regional del Quindío – CRQ</v>
          </cell>
        </row>
        <row r="34">
          <cell r="H34" t="str">
            <v>Corporación Autónoma Regional del Sur de Bolívar – CSB</v>
          </cell>
        </row>
        <row r="35">
          <cell r="H35" t="str">
            <v>Corporación Autónoma Regional del Valle del Cauca – CVC</v>
          </cell>
        </row>
        <row r="36">
          <cell r="H36" t="str">
            <v>Corporación Autónoma Regional de los Valles del Sinú y del San Jorge – CVS</v>
          </cell>
        </row>
      </sheetData>
      <sheetData sheetId="1" refreshError="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Anexo 1 Matriz Inf Gestión-GD"/>
      <sheetName val="Hoja1"/>
      <sheetName val="Anexo2 Protocolo Inf Gestión GD"/>
      <sheetName val="Anexo 5.2-A (1)"/>
      <sheetName val="Protocolo Gastos"/>
      <sheetName val="Anexo 3 Matriz IMG"/>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s>
    <sheetDataSet>
      <sheetData sheetId="0">
        <row r="5">
          <cell r="H5" t="str">
            <v>Corporación Autónoma Regional del Alto Magdalena - CAM</v>
          </cell>
        </row>
        <row r="6">
          <cell r="H6" t="str">
            <v>Corporación Autónoma Regional de Cundinamarca – CAR</v>
          </cell>
        </row>
        <row r="7">
          <cell r="H7" t="str">
            <v>Corporación Autónoma Regional del Canal del Dique – CARDIQUE</v>
          </cell>
        </row>
        <row r="8">
          <cell r="H8" t="str">
            <v>Corporación Autónoma Regional de Sucre – CARSUCRE</v>
          </cell>
        </row>
        <row r="9">
          <cell r="H9" t="str">
            <v>Corporación Autónoma Regional de Santander – CAS</v>
          </cell>
        </row>
        <row r="10">
          <cell r="H10" t="str">
            <v>Corporación para el Desarrollo Sostenible del Norte y el Oriente Amazónico – CDA</v>
          </cell>
        </row>
        <row r="11">
          <cell r="H11" t="str">
            <v>Corporación Autónoma Regional para la Defensa de la Meseta de Bucaramanga – CDMB</v>
          </cell>
        </row>
        <row r="12">
          <cell r="H12" t="str">
            <v>Corporación Autónoma Regional para el Desarrollo Sostenible del Chocó – CODECHOCÓ</v>
          </cell>
        </row>
        <row r="13">
          <cell r="H13" t="str">
            <v>Corporación para el Desarrollo Sostenible del Archipiélago de San Andrés, Providencia y Santa Catalina – CORALINA</v>
          </cell>
        </row>
        <row r="14">
          <cell r="H14" t="str">
            <v>Corporación Autónoma Regional del Centro de Antioquia – CORANTIOQUIA</v>
          </cell>
        </row>
        <row r="15">
          <cell r="H15" t="str">
            <v>Corporación para el Desarrollo Sostenible del Área de Manejo Especial de La Macarena – CORMACARENA</v>
          </cell>
        </row>
        <row r="16">
          <cell r="H16" t="str">
            <v>Corporación Autónoma Regional de las Cuencas de los Ríos Negro y Nare – CORNARE</v>
          </cell>
        </row>
        <row r="17">
          <cell r="H17" t="str">
            <v>Corporación Autónoma Regional del Magdalena – CORPAMAG</v>
          </cell>
        </row>
        <row r="18">
          <cell r="H18" t="str">
            <v>Corporación para el Desarrollo Sostenible del Sur de la Amazonia – CORPOAMAZONIA</v>
          </cell>
        </row>
        <row r="19">
          <cell r="H19" t="str">
            <v>Corporación Autónoma Regional de Boyacá – CORPOBOYACÁ</v>
          </cell>
        </row>
        <row r="20">
          <cell r="H20" t="str">
            <v>Corporación Autónoma Regional de Caldas – CORPOCALDAS</v>
          </cell>
        </row>
        <row r="21">
          <cell r="H21" t="str">
            <v>Corporación Autónoma Regional del Cesar – CORPOCESAR</v>
          </cell>
        </row>
        <row r="22">
          <cell r="H22" t="str">
            <v>Corporación Autónoma Regional de Chivor – CORPOCHIVOR</v>
          </cell>
        </row>
        <row r="23">
          <cell r="H23" t="str">
            <v>Corporación Autónoma Regional de La Guajira – CORPOGUAJIRA</v>
          </cell>
        </row>
        <row r="24">
          <cell r="H24" t="str">
            <v>Corporación Autónoma Regional del Guavio – CORPOGUAVIO</v>
          </cell>
        </row>
        <row r="25">
          <cell r="H25" t="str">
            <v>Corporación para el Desarrollo Sostenible de La Mojana y El San Jorge – CORPOMOJANA</v>
          </cell>
        </row>
        <row r="26">
          <cell r="H26" t="str">
            <v>Corporación Autónoma Regional de Nariño – CORPONARIÑO</v>
          </cell>
        </row>
        <row r="27">
          <cell r="H27" t="str">
            <v>Corporación Autónoma Regional de la Frontera Nororiental – CORPONOR</v>
          </cell>
        </row>
        <row r="28">
          <cell r="H28" t="str">
            <v>Corporación Autónoma Regional de Risaralda – CARDER</v>
          </cell>
        </row>
        <row r="29">
          <cell r="H29" t="str">
            <v>Corporación Autónoma Regional de la Orinoquia – CORPORINOQUIA</v>
          </cell>
        </row>
        <row r="30">
          <cell r="H30" t="str">
            <v>Corporación para el Desarrollo Sostenible del Urabá – CORPOURABA</v>
          </cell>
        </row>
        <row r="31">
          <cell r="H31" t="str">
            <v>Corporación Autónoma Regional del Tolima – CORTOLIMA</v>
          </cell>
        </row>
        <row r="32">
          <cell r="H32" t="str">
            <v>Corporación Autónoma Regional del Atlántico – CRA</v>
          </cell>
        </row>
        <row r="33">
          <cell r="H33" t="str">
            <v>Corporación Autónoma Regional del Cauca – CRC</v>
          </cell>
        </row>
        <row r="34">
          <cell r="H34" t="str">
            <v>Corporación Autónoma Regional del Quindío – CRQ</v>
          </cell>
        </row>
        <row r="35">
          <cell r="H35" t="str">
            <v>Corporación Autónoma Regional del Sur de Bolívar – CSB</v>
          </cell>
        </row>
        <row r="36">
          <cell r="H36" t="str">
            <v>Corporación Autónoma Regional del Valle del Cauca – CVC</v>
          </cell>
        </row>
        <row r="37">
          <cell r="H37" t="str">
            <v>Corporación Autónoma Regional de los Valles del Sinú y del San Jorge – CVS</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ow r="33">
          <cell r="D33" t="str">
            <v>SI APLICA</v>
          </cell>
          <cell r="F33" t="str">
            <v>SI SE REPORTA</v>
          </cell>
        </row>
        <row r="34">
          <cell r="D34" t="str">
            <v>NO APLICA</v>
          </cell>
          <cell r="F34" t="str">
            <v>NO SE REPORTA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Anexo 1 Matriz Inf Gestión"/>
      <sheetName val="Anexo 1 Matriz Inf Gestión CARd"/>
      <sheetName val="Anexo 2 Protocolo Inf Gestión"/>
      <sheetName val="Hoja1"/>
      <sheetName val="Informe Ingresos"/>
      <sheetName val="PROTOCOLO INGRESOS"/>
      <sheetName val="informe Gastos"/>
      <sheetName val="PROTOCOLO GASTOS"/>
      <sheetName val="Anexo 5.2A"/>
      <sheetName val="Anexo 3 Matriz IMG"/>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s>
    <sheetDataSet>
      <sheetData sheetId="0">
        <row r="5">
          <cell r="H5" t="str">
            <v>Corporación Autónoma Regional del Alto Magdalena - CAM</v>
          </cell>
        </row>
        <row r="6">
          <cell r="H6" t="str">
            <v>Corporación Autónoma Regional de Cundinamarca – CAR</v>
          </cell>
        </row>
        <row r="7">
          <cell r="H7" t="str">
            <v>Corporación Autónoma Regional del Canal del Dique – CARDIQUE</v>
          </cell>
        </row>
        <row r="8">
          <cell r="H8" t="str">
            <v>Corporación Autónoma Regional de Sucre – CARSUCRE</v>
          </cell>
        </row>
        <row r="9">
          <cell r="H9" t="str">
            <v>Corporación Autónoma Regional de Santander – CAS</v>
          </cell>
        </row>
        <row r="10">
          <cell r="H10" t="str">
            <v>Corporación para el Desarrollo Sostenible del Norte y el Oriente Amazónico – CDA</v>
          </cell>
        </row>
        <row r="11">
          <cell r="H11" t="str">
            <v>Corporación Autónoma Regional para la Defensa de la Meseta de Bucaramanga – CDMB</v>
          </cell>
        </row>
        <row r="12">
          <cell r="H12" t="str">
            <v>Corporación Autónoma Regional para el Desarrollo Sostenible del Chocó – CODECHOCÓ</v>
          </cell>
        </row>
        <row r="13">
          <cell r="H13" t="str">
            <v>Corporación para el Desarrollo Sostenible del Archipiélago de San Andrés, Providencia y Santa Catalina – CORALINA</v>
          </cell>
        </row>
        <row r="14">
          <cell r="H14" t="str">
            <v>Corporación Autónoma Regional del Centro de Antioquia – CORANTIOQUIA</v>
          </cell>
        </row>
        <row r="15">
          <cell r="H15" t="str">
            <v>Corporación para el Desarrollo Sostenible del Área de Manejo Especial de La Macarena – CORMACARENA</v>
          </cell>
        </row>
        <row r="16">
          <cell r="H16" t="str">
            <v>Corporación Autónoma Regional de las Cuencas de los Ríos Negro y Nare – CORNARE</v>
          </cell>
        </row>
        <row r="17">
          <cell r="H17" t="str">
            <v>Corporación Autónoma Regional del Magdalena – CORPAMAG</v>
          </cell>
        </row>
        <row r="18">
          <cell r="H18" t="str">
            <v>Corporación para el Desarrollo Sostenible del Sur de la Amazonia – CORPOAMAZONIA</v>
          </cell>
        </row>
        <row r="19">
          <cell r="H19" t="str">
            <v>Corporación Autónoma Regional de Boyacá – CORPOBOYACÁ</v>
          </cell>
        </row>
        <row r="20">
          <cell r="H20" t="str">
            <v>Corporación Autónoma Regional de Caldas – CORPOCALDAS</v>
          </cell>
        </row>
        <row r="21">
          <cell r="H21" t="str">
            <v>Corporación Autónoma Regional del Cesar – CORPOCESAR</v>
          </cell>
        </row>
        <row r="22">
          <cell r="H22" t="str">
            <v>Corporación Autónoma Regional de Chivor – CORPOCHIVOR</v>
          </cell>
        </row>
        <row r="23">
          <cell r="H23" t="str">
            <v>Corporación Autónoma Regional de La Guajira – CORPOGUAJIRA</v>
          </cell>
        </row>
        <row r="24">
          <cell r="H24" t="str">
            <v>Corporación Autónoma Regional del Guavio – CORPOGUAVIO</v>
          </cell>
        </row>
        <row r="25">
          <cell r="H25" t="str">
            <v>Corporación para el Desarrollo Sostenible de La Mojana y El San Jorge – CORPOMOJANA</v>
          </cell>
        </row>
        <row r="26">
          <cell r="H26" t="str">
            <v>Corporación Autónoma Regional de Nariño – CORPONARIÑO</v>
          </cell>
        </row>
        <row r="27">
          <cell r="H27" t="str">
            <v>Corporación Autónoma Regional de la Frontera Nororiental – CORPONOR</v>
          </cell>
        </row>
        <row r="28">
          <cell r="H28" t="str">
            <v>Corporación Autónoma Regional de la Orinoquia – CORPORINOQUIA</v>
          </cell>
        </row>
        <row r="29">
          <cell r="H29" t="str">
            <v>Corporación para el Desarrollo Sostenible del Urabá – CORPOURABA</v>
          </cell>
        </row>
        <row r="30">
          <cell r="H30" t="str">
            <v>Corporación Autónoma Regional del Tolima – CORTOLIMA</v>
          </cell>
        </row>
        <row r="31">
          <cell r="H31" t="str">
            <v>Corporación Autónoma Regional del Atlántico – CRA</v>
          </cell>
        </row>
        <row r="32">
          <cell r="H32" t="str">
            <v>Corporación Autónoma Regional del Cauca – CRC</v>
          </cell>
        </row>
        <row r="33">
          <cell r="H33" t="str">
            <v>Corporación Autónoma Regional del Quindío – CRQ</v>
          </cell>
        </row>
        <row r="34">
          <cell r="H34" t="str">
            <v>Corporación Autónoma Regional del Sur de Bolívar – CSB</v>
          </cell>
        </row>
        <row r="35">
          <cell r="H35" t="str">
            <v>Corporación Autónoma Regional del Valle del Cauca – CVC</v>
          </cell>
        </row>
        <row r="36">
          <cell r="H36" t="str">
            <v>Corporación Autónoma Regional de los Valles del Sinú y del San Jorge – CVS</v>
          </cell>
        </row>
        <row r="38">
          <cell r="H38" t="str">
            <v>2020-I</v>
          </cell>
        </row>
        <row r="39">
          <cell r="H39" t="str">
            <v>2020-II</v>
          </cell>
        </row>
        <row r="40">
          <cell r="H40" t="str">
            <v>2021-I</v>
          </cell>
        </row>
        <row r="41">
          <cell r="H41" t="str">
            <v>2021-II</v>
          </cell>
        </row>
        <row r="42">
          <cell r="H42" t="str">
            <v>2022-I</v>
          </cell>
        </row>
        <row r="43">
          <cell r="H43" t="str">
            <v>2022-II</v>
          </cell>
        </row>
        <row r="44">
          <cell r="H44" t="str">
            <v>2023-I</v>
          </cell>
        </row>
        <row r="45">
          <cell r="H45" t="str">
            <v>2023-II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33">
          <cell r="D33" t="str">
            <v>SI APLICA</v>
          </cell>
          <cell r="F33" t="str">
            <v>SI SE REPORTA</v>
          </cell>
        </row>
        <row r="34">
          <cell r="D34" t="str">
            <v>NO APLICA</v>
          </cell>
          <cell r="F34" t="str">
            <v>NO SE REPORTA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laneacion@corpocesar.gov.co"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mailto:educacionambiental@corpocesar.gov.co"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mailto:pomcasodt@corpocesar.gov.co"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planeacion@corpocesar.gov.co" TargetMode="External"/><Relationship Id="rId1" Type="http://schemas.openxmlformats.org/officeDocument/2006/relationships/hyperlink" Target="http://cambioclimatico.minambiente.gov.co/" TargetMode="External"/><Relationship Id="rId4"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mailto:subdirector.ambiental@corpocesar.gov.co"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mailto:gestionambiental@corpocesar.gov.co"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4.bin"/><Relationship Id="rId1" Type="http://schemas.openxmlformats.org/officeDocument/2006/relationships/hyperlink" Target="mailto:gestionambiental@corpocesar.gov.co"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1.xml"/><Relationship Id="rId1" Type="http://schemas.openxmlformats.org/officeDocument/2006/relationships/printerSettings" Target="../printerSettings/printerSettings22.bin"/><Relationship Id="rId4" Type="http://schemas.openxmlformats.org/officeDocument/2006/relationships/comments" Target="../comments4.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4.bin"/><Relationship Id="rId1" Type="http://schemas.openxmlformats.org/officeDocument/2006/relationships/hyperlink" Target="https://www.minambiente.gov.co/index.php/ambientes-y-desarrollos-sostenibles/negocios-verdes-y-sostenibles"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4.xml"/><Relationship Id="rId1" Type="http://schemas.openxmlformats.org/officeDocument/2006/relationships/printerSettings" Target="../printerSettings/printerSettings25.bin"/><Relationship Id="rId4" Type="http://schemas.openxmlformats.org/officeDocument/2006/relationships/comments" Target="../comments6.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5.xml"/><Relationship Id="rId1" Type="http://schemas.openxmlformats.org/officeDocument/2006/relationships/printerSettings" Target="../printerSettings/printerSettings26.bin"/><Relationship Id="rId4" Type="http://schemas.openxmlformats.org/officeDocument/2006/relationships/comments" Target="../comments7.xm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7.bin"/><Relationship Id="rId1" Type="http://schemas.openxmlformats.org/officeDocument/2006/relationships/hyperlink" Target="mailto:oficinajuridica@corpocesar.gov.co"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8.bin"/><Relationship Id="rId1" Type="http://schemas.openxmlformats.org/officeDocument/2006/relationships/hyperlink" Target="mailto:planacion@corpocesar.gov.co"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sirh.ideam.gov.co/" TargetMode="External"/><Relationship Id="rId1" Type="http://schemas.openxmlformats.org/officeDocument/2006/relationships/hyperlink" Target="http://www.sisaire.gov.co/" TargetMode="External"/><Relationship Id="rId4" Type="http://schemas.openxmlformats.org/officeDocument/2006/relationships/drawing" Target="../drawings/drawing28.xml"/></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sirh.ideam.gov.co/" TargetMode="External"/><Relationship Id="rId1" Type="http://schemas.openxmlformats.org/officeDocument/2006/relationships/hyperlink" Target="http://www.sisaire.gov.co/" TargetMode="External"/><Relationship Id="rId6" Type="http://schemas.openxmlformats.org/officeDocument/2006/relationships/comments" Target="../comments8.xml"/><Relationship Id="rId5" Type="http://schemas.openxmlformats.org/officeDocument/2006/relationships/vmlDrawing" Target="../drawings/vmlDrawing8.vml"/><Relationship Id="rId4" Type="http://schemas.openxmlformats.org/officeDocument/2006/relationships/drawing" Target="../drawings/drawing29.xm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31.bin"/><Relationship Id="rId1" Type="http://schemas.openxmlformats.org/officeDocument/2006/relationships/hyperlink" Target="mailto:educacionambiental@corpocesar.gov.co" TargetMode="Externa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hyperlink" Target="Anexos%201-5.2A-IMG.xlsx" TargetMode="External"/><Relationship Id="rId13" Type="http://schemas.openxmlformats.org/officeDocument/2006/relationships/hyperlink" Target="Anexos%201-5.2A-IMG.xlsx" TargetMode="External"/><Relationship Id="rId18" Type="http://schemas.openxmlformats.org/officeDocument/2006/relationships/hyperlink" Target="Anexos%201-5.2A-IMG.xlsx" TargetMode="External"/><Relationship Id="rId26" Type="http://schemas.openxmlformats.org/officeDocument/2006/relationships/hyperlink" Target="Anexos%201-5.2A-IMG.xlsx" TargetMode="External"/><Relationship Id="rId3" Type="http://schemas.openxmlformats.org/officeDocument/2006/relationships/hyperlink" Target="Anexos%201-5.2A-IMG.xlsx" TargetMode="External"/><Relationship Id="rId21" Type="http://schemas.openxmlformats.org/officeDocument/2006/relationships/hyperlink" Target="Anexos%201-5.2A-IMG.xlsx" TargetMode="External"/><Relationship Id="rId7" Type="http://schemas.openxmlformats.org/officeDocument/2006/relationships/hyperlink" Target="Anexos%201-5.2A-IMG.xlsx" TargetMode="External"/><Relationship Id="rId12" Type="http://schemas.openxmlformats.org/officeDocument/2006/relationships/hyperlink" Target="Anexos%201-5.2A-IMG.xlsx" TargetMode="External"/><Relationship Id="rId17" Type="http://schemas.openxmlformats.org/officeDocument/2006/relationships/hyperlink" Target="Anexos%201-5.2A-IMG.xlsx" TargetMode="External"/><Relationship Id="rId25" Type="http://schemas.openxmlformats.org/officeDocument/2006/relationships/hyperlink" Target="Anexos%201-5.2A-IMG.xlsx" TargetMode="External"/><Relationship Id="rId2" Type="http://schemas.openxmlformats.org/officeDocument/2006/relationships/hyperlink" Target="Anexos%201-5.2A-IMG.xlsx" TargetMode="External"/><Relationship Id="rId16" Type="http://schemas.openxmlformats.org/officeDocument/2006/relationships/hyperlink" Target="Anexos%201-5.2A-IMG.xlsx" TargetMode="External"/><Relationship Id="rId20" Type="http://schemas.openxmlformats.org/officeDocument/2006/relationships/hyperlink" Target="Anexos%201-5.2A-IMG.xlsx" TargetMode="External"/><Relationship Id="rId1" Type="http://schemas.openxmlformats.org/officeDocument/2006/relationships/hyperlink" Target="Anexos%201-5.2A-IMG.xlsx" TargetMode="External"/><Relationship Id="rId6" Type="http://schemas.openxmlformats.org/officeDocument/2006/relationships/hyperlink" Target="Anexos%201-5.2A-IMG.xlsx" TargetMode="External"/><Relationship Id="rId11" Type="http://schemas.openxmlformats.org/officeDocument/2006/relationships/hyperlink" Target="Anexos%201-5.2A-IMG.xlsx" TargetMode="External"/><Relationship Id="rId24" Type="http://schemas.openxmlformats.org/officeDocument/2006/relationships/hyperlink" Target="Anexos%201-5.2A-IMG.xlsx" TargetMode="External"/><Relationship Id="rId5" Type="http://schemas.openxmlformats.org/officeDocument/2006/relationships/hyperlink" Target="Anexos%201-5.2A-IMG.xlsx" TargetMode="External"/><Relationship Id="rId15" Type="http://schemas.openxmlformats.org/officeDocument/2006/relationships/hyperlink" Target="Anexos%201-5.2A-IMG.xlsx" TargetMode="External"/><Relationship Id="rId23" Type="http://schemas.openxmlformats.org/officeDocument/2006/relationships/hyperlink" Target="Anexos%201-5.2A-IMG.xlsx" TargetMode="External"/><Relationship Id="rId28" Type="http://schemas.openxmlformats.org/officeDocument/2006/relationships/printerSettings" Target="../printerSettings/printerSettings4.bin"/><Relationship Id="rId10" Type="http://schemas.openxmlformats.org/officeDocument/2006/relationships/hyperlink" Target="Anexos%201-5.2A-IMG.xlsx" TargetMode="External"/><Relationship Id="rId19" Type="http://schemas.openxmlformats.org/officeDocument/2006/relationships/hyperlink" Target="Anexos%201-5.2A-IMG.xlsx" TargetMode="External"/><Relationship Id="rId4" Type="http://schemas.openxmlformats.org/officeDocument/2006/relationships/hyperlink" Target="Anexos%201-5.2A-IMG.xlsx" TargetMode="External"/><Relationship Id="rId9" Type="http://schemas.openxmlformats.org/officeDocument/2006/relationships/hyperlink" Target="Anexos%201-5.2A-IMG.xlsx" TargetMode="External"/><Relationship Id="rId14" Type="http://schemas.openxmlformats.org/officeDocument/2006/relationships/hyperlink" Target="Anexos%201-5.2A-IMG.xlsx" TargetMode="External"/><Relationship Id="rId22" Type="http://schemas.openxmlformats.org/officeDocument/2006/relationships/hyperlink" Target="Anexos%201-5.2A-IMG.xlsx" TargetMode="External"/><Relationship Id="rId27" Type="http://schemas.openxmlformats.org/officeDocument/2006/relationships/hyperlink" Target="Anexos%201-5.2A-IMG.xlsx"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mailto:pomcas_odt@corpocesar.gov.co"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mailto:saneamientoambiental@corpocesa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8"/>
  <sheetViews>
    <sheetView workbookViewId="0">
      <selection activeCell="F7" sqref="F7"/>
    </sheetView>
  </sheetViews>
  <sheetFormatPr baseColWidth="10" defaultRowHeight="15"/>
  <cols>
    <col min="1" max="1" width="5.85546875" customWidth="1"/>
    <col min="2" max="2" width="44.28515625" customWidth="1"/>
    <col min="3" max="3" width="68.5703125" customWidth="1"/>
    <col min="7" max="7" width="0" hidden="1" customWidth="1"/>
    <col min="8" max="8" width="15.5703125" hidden="1" customWidth="1"/>
    <col min="9" max="9" width="11.42578125" hidden="1" customWidth="1"/>
  </cols>
  <sheetData>
    <row r="1" spans="1:18" s="490" customFormat="1" ht="130.5" customHeight="1" thickBot="1">
      <c r="A1" s="501"/>
      <c r="B1" s="502"/>
      <c r="C1" s="503"/>
      <c r="D1"/>
      <c r="E1"/>
      <c r="F1"/>
      <c r="G1"/>
      <c r="H1"/>
      <c r="I1"/>
      <c r="J1"/>
      <c r="K1"/>
      <c r="L1"/>
      <c r="M1"/>
      <c r="N1"/>
      <c r="O1"/>
      <c r="P1"/>
      <c r="Q1"/>
      <c r="R1"/>
    </row>
    <row r="2" spans="1:18" s="491" customFormat="1" ht="39.75" customHeight="1" thickBot="1">
      <c r="A2" s="1256" t="s">
        <v>1316</v>
      </c>
      <c r="B2" s="1257"/>
      <c r="C2" s="1258"/>
      <c r="D2"/>
      <c r="E2"/>
      <c r="F2"/>
      <c r="G2"/>
      <c r="H2"/>
      <c r="I2"/>
      <c r="J2"/>
      <c r="K2"/>
      <c r="L2"/>
      <c r="M2"/>
      <c r="N2"/>
      <c r="O2"/>
      <c r="P2"/>
      <c r="Q2"/>
      <c r="R2"/>
    </row>
    <row r="4" spans="1:18" ht="15.75" thickBot="1"/>
    <row r="5" spans="1:18" s="492" customFormat="1" ht="23.25" customHeight="1">
      <c r="B5" s="493" t="s">
        <v>1249</v>
      </c>
      <c r="C5" s="494" t="s">
        <v>1266</v>
      </c>
      <c r="H5" s="492" t="s">
        <v>1250</v>
      </c>
    </row>
    <row r="6" spans="1:18" s="492" customFormat="1" ht="23.25" customHeight="1">
      <c r="B6" s="495" t="s">
        <v>1290</v>
      </c>
      <c r="C6" s="496" t="s">
        <v>1332</v>
      </c>
      <c r="H6" s="492" t="s">
        <v>1251</v>
      </c>
    </row>
    <row r="7" spans="1:18" s="492" customFormat="1" ht="23.25" customHeight="1">
      <c r="B7" s="495" t="s">
        <v>1291</v>
      </c>
      <c r="C7" s="496" t="s">
        <v>2132</v>
      </c>
      <c r="H7" s="492" t="s">
        <v>1252</v>
      </c>
    </row>
    <row r="8" spans="1:18" s="492" customFormat="1" ht="23.25" customHeight="1">
      <c r="B8" s="495" t="s">
        <v>40</v>
      </c>
      <c r="C8" s="496" t="s">
        <v>2133</v>
      </c>
      <c r="H8" s="492" t="s">
        <v>1253</v>
      </c>
    </row>
    <row r="9" spans="1:18" s="492" customFormat="1" ht="23.25" customHeight="1">
      <c r="B9" s="495" t="s">
        <v>42</v>
      </c>
      <c r="C9" s="496" t="s">
        <v>2134</v>
      </c>
      <c r="H9" s="492" t="s">
        <v>1254</v>
      </c>
    </row>
    <row r="10" spans="1:18" s="492" customFormat="1" ht="23.25" customHeight="1">
      <c r="B10" s="495" t="s">
        <v>43</v>
      </c>
      <c r="C10" s="1198" t="s">
        <v>1388</v>
      </c>
      <c r="H10" s="492" t="s">
        <v>1255</v>
      </c>
    </row>
    <row r="11" spans="1:18" s="492" customFormat="1" ht="23.25" customHeight="1" thickBot="1">
      <c r="B11" s="497" t="s">
        <v>44</v>
      </c>
      <c r="C11" s="1199" t="s">
        <v>2135</v>
      </c>
      <c r="H11" s="492" t="s">
        <v>1256</v>
      </c>
    </row>
    <row r="12" spans="1:18">
      <c r="H12" t="s">
        <v>1257</v>
      </c>
    </row>
    <row r="13" spans="1:18">
      <c r="H13" t="s">
        <v>1258</v>
      </c>
    </row>
    <row r="14" spans="1:18">
      <c r="H14" t="s">
        <v>1259</v>
      </c>
    </row>
    <row r="15" spans="1:18">
      <c r="H15" t="s">
        <v>1260</v>
      </c>
    </row>
    <row r="16" spans="1:18">
      <c r="H16" t="s">
        <v>1261</v>
      </c>
    </row>
    <row r="17" spans="8:8">
      <c r="H17" t="s">
        <v>1262</v>
      </c>
    </row>
    <row r="18" spans="8:8">
      <c r="H18" t="s">
        <v>1263</v>
      </c>
    </row>
    <row r="19" spans="8:8">
      <c r="H19" t="s">
        <v>1264</v>
      </c>
    </row>
    <row r="20" spans="8:8">
      <c r="H20" t="s">
        <v>1265</v>
      </c>
    </row>
    <row r="21" spans="8:8">
      <c r="H21" t="s">
        <v>1266</v>
      </c>
    </row>
    <row r="22" spans="8:8">
      <c r="H22" t="s">
        <v>1267</v>
      </c>
    </row>
    <row r="23" spans="8:8">
      <c r="H23" t="s">
        <v>1268</v>
      </c>
    </row>
    <row r="24" spans="8:8">
      <c r="H24" t="s">
        <v>1269</v>
      </c>
    </row>
    <row r="25" spans="8:8">
      <c r="H25" t="s">
        <v>1270</v>
      </c>
    </row>
    <row r="26" spans="8:8">
      <c r="H26" t="s">
        <v>1271</v>
      </c>
    </row>
    <row r="27" spans="8:8">
      <c r="H27" t="s">
        <v>1272</v>
      </c>
    </row>
    <row r="28" spans="8:8">
      <c r="H28" t="s">
        <v>1339</v>
      </c>
    </row>
    <row r="29" spans="8:8" s="389" customFormat="1">
      <c r="H29" s="389" t="s">
        <v>1273</v>
      </c>
    </row>
    <row r="30" spans="8:8">
      <c r="H30" t="s">
        <v>1274</v>
      </c>
    </row>
    <row r="31" spans="8:8">
      <c r="H31" t="s">
        <v>1275</v>
      </c>
    </row>
    <row r="32" spans="8:8">
      <c r="H32" t="s">
        <v>1276</v>
      </c>
    </row>
    <row r="33" spans="8:8">
      <c r="H33" t="s">
        <v>1277</v>
      </c>
    </row>
    <row r="34" spans="8:8">
      <c r="H34" t="s">
        <v>1278</v>
      </c>
    </row>
    <row r="35" spans="8:8">
      <c r="H35" t="s">
        <v>1279</v>
      </c>
    </row>
    <row r="36" spans="8:8">
      <c r="H36" t="s">
        <v>1280</v>
      </c>
    </row>
    <row r="37" spans="8:8">
      <c r="H37" t="s">
        <v>1281</v>
      </c>
    </row>
    <row r="39" spans="8:8">
      <c r="H39" t="s">
        <v>1282</v>
      </c>
    </row>
    <row r="40" spans="8:8">
      <c r="H40" t="s">
        <v>1283</v>
      </c>
    </row>
    <row r="41" spans="8:8">
      <c r="H41" t="s">
        <v>1284</v>
      </c>
    </row>
    <row r="42" spans="8:8">
      <c r="H42" t="s">
        <v>1285</v>
      </c>
    </row>
    <row r="43" spans="8:8">
      <c r="H43" t="s">
        <v>1286</v>
      </c>
    </row>
    <row r="44" spans="8:8">
      <c r="H44" t="s">
        <v>1287</v>
      </c>
    </row>
    <row r="45" spans="8:8">
      <c r="H45" t="s">
        <v>1288</v>
      </c>
    </row>
    <row r="46" spans="8:8">
      <c r="H46" t="s">
        <v>1289</v>
      </c>
    </row>
    <row r="47" spans="8:8">
      <c r="H47" s="389" t="s">
        <v>1327</v>
      </c>
    </row>
    <row r="48" spans="8:8">
      <c r="H48" s="389" t="s">
        <v>1328</v>
      </c>
    </row>
    <row r="49" spans="8:8">
      <c r="H49" s="389" t="s">
        <v>1329</v>
      </c>
    </row>
    <row r="50" spans="8:8">
      <c r="H50" s="389" t="s">
        <v>1330</v>
      </c>
    </row>
    <row r="51" spans="8:8">
      <c r="H51" s="389" t="s">
        <v>1331</v>
      </c>
    </row>
    <row r="52" spans="8:8">
      <c r="H52" s="389" t="s">
        <v>1332</v>
      </c>
    </row>
    <row r="53" spans="8:8">
      <c r="H53" s="389" t="s">
        <v>1333</v>
      </c>
    </row>
    <row r="54" spans="8:8">
      <c r="H54" s="389" t="s">
        <v>1334</v>
      </c>
    </row>
    <row r="55" spans="8:8">
      <c r="H55" s="389" t="s">
        <v>1335</v>
      </c>
    </row>
    <row r="56" spans="8:8">
      <c r="H56" s="389" t="s">
        <v>1336</v>
      </c>
    </row>
    <row r="57" spans="8:8">
      <c r="H57" s="389" t="s">
        <v>1337</v>
      </c>
    </row>
    <row r="58" spans="8:8">
      <c r="H58" s="389" t="s">
        <v>1338</v>
      </c>
    </row>
  </sheetData>
  <mergeCells count="1">
    <mergeCell ref="A2:C2"/>
  </mergeCells>
  <dataValidations count="2">
    <dataValidation type="list" allowBlank="1" showInputMessage="1" showErrorMessage="1" prompt="Seleccione la CAR de la cual incorporara la información" sqref="C5">
      <formula1>Lista_CAR</formula1>
    </dataValidation>
    <dataValidation type="list" allowBlank="1" showInputMessage="1" showErrorMessage="1" prompt="Seleccione el perido a reportar" sqref="C6">
      <formula1>$H$39:$H$58</formula1>
    </dataValidation>
  </dataValidations>
  <hyperlinks>
    <hyperlink ref="C10" r:id="rId1"/>
  </hyperlinks>
  <pageMargins left="0.7" right="0.7" top="0.75" bottom="0.75" header="0.3" footer="0.3"/>
  <pageSetup paperSize="0"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75"/>
  <sheetViews>
    <sheetView showGridLines="0" zoomScale="98" zoomScaleNormal="98" workbookViewId="0">
      <selection activeCell="E13" sqref="E13:R13"/>
    </sheetView>
  </sheetViews>
  <sheetFormatPr baseColWidth="10" defaultRowHeight="15"/>
  <cols>
    <col min="1" max="1" width="1.85546875" customWidth="1"/>
    <col min="2" max="2" width="12.85546875" customWidth="1"/>
    <col min="3" max="3" width="5" style="86" bestFit="1" customWidth="1"/>
    <col min="4" max="4" width="34.85546875" customWidth="1"/>
    <col min="5" max="5" width="14.5703125" customWidth="1"/>
  </cols>
  <sheetData>
    <row r="1" spans="1:21" s="490" customFormat="1" ht="100.5" customHeight="1" thickBot="1">
      <c r="A1" s="1334"/>
      <c r="B1" s="1335"/>
      <c r="C1" s="1335"/>
      <c r="D1" s="1335"/>
      <c r="E1" s="1335"/>
      <c r="F1" s="1335"/>
      <c r="G1" s="1335"/>
      <c r="H1" s="1335"/>
      <c r="I1" s="1335"/>
      <c r="J1" s="1335"/>
      <c r="K1" s="1335"/>
      <c r="L1" s="1335"/>
      <c r="M1" s="1335"/>
      <c r="N1" s="1335"/>
      <c r="O1" s="1335"/>
      <c r="P1" s="1336"/>
      <c r="Q1" s="389"/>
      <c r="R1" s="389"/>
    </row>
    <row r="2" spans="1:21" s="491" customFormat="1" ht="16.5" thickBot="1">
      <c r="A2" s="1342" t="str">
        <f>'Datos Generales'!C5</f>
        <v>Corporación Autónoma Regional del Cesar – CORPOCESAR</v>
      </c>
      <c r="B2" s="1343"/>
      <c r="C2" s="1343"/>
      <c r="D2" s="1343"/>
      <c r="E2" s="1343"/>
      <c r="F2" s="1343"/>
      <c r="G2" s="1343"/>
      <c r="H2" s="1343"/>
      <c r="I2" s="1343"/>
      <c r="J2" s="1343"/>
      <c r="K2" s="1343"/>
      <c r="L2" s="1343"/>
      <c r="M2" s="1343"/>
      <c r="N2" s="1343"/>
      <c r="O2" s="1343"/>
      <c r="P2" s="1344"/>
      <c r="Q2" s="389"/>
      <c r="R2" s="389"/>
    </row>
    <row r="3" spans="1:21" s="491" customFormat="1" ht="16.5" thickBot="1">
      <c r="A3" s="1337" t="s">
        <v>1294</v>
      </c>
      <c r="B3" s="1338"/>
      <c r="C3" s="1338"/>
      <c r="D3" s="1338"/>
      <c r="E3" s="1338"/>
      <c r="F3" s="1338"/>
      <c r="G3" s="1338"/>
      <c r="H3" s="1338"/>
      <c r="I3" s="1338"/>
      <c r="J3" s="1338"/>
      <c r="K3" s="1338"/>
      <c r="L3" s="1338"/>
      <c r="M3" s="1338"/>
      <c r="N3" s="1338"/>
      <c r="O3" s="1338"/>
      <c r="P3" s="1339"/>
      <c r="Q3" s="389"/>
      <c r="R3" s="389"/>
    </row>
    <row r="4" spans="1:21" s="491" customFormat="1" ht="16.5" thickBot="1">
      <c r="A4" s="1340" t="s">
        <v>1293</v>
      </c>
      <c r="B4" s="1341"/>
      <c r="C4" s="1341"/>
      <c r="D4" s="1341"/>
      <c r="E4" s="498">
        <v>2022</v>
      </c>
      <c r="F4" s="498"/>
      <c r="G4" s="498"/>
      <c r="H4" s="498"/>
      <c r="I4" s="498"/>
      <c r="J4" s="498"/>
      <c r="K4" s="498"/>
      <c r="L4" s="499"/>
      <c r="M4" s="499"/>
      <c r="N4" s="499"/>
      <c r="O4" s="499"/>
      <c r="P4" s="500"/>
      <c r="Q4" s="389"/>
      <c r="R4" s="389"/>
    </row>
    <row r="5" spans="1:21" s="235" customFormat="1" ht="16.5" customHeight="1" thickBot="1">
      <c r="A5" s="1337" t="s">
        <v>183</v>
      </c>
      <c r="B5" s="1338"/>
      <c r="C5" s="1338"/>
      <c r="D5" s="1338"/>
      <c r="E5" s="1338"/>
      <c r="F5" s="1338"/>
      <c r="G5" s="1338"/>
      <c r="H5" s="1338"/>
      <c r="I5" s="1338"/>
      <c r="J5" s="1338"/>
      <c r="K5" s="1338"/>
      <c r="L5" s="1338"/>
      <c r="M5" s="1338"/>
      <c r="N5" s="1338"/>
      <c r="O5" s="1338"/>
      <c r="P5" s="1339"/>
    </row>
    <row r="6" spans="1:21">
      <c r="A6" s="235"/>
      <c r="B6" s="239" t="s">
        <v>1</v>
      </c>
      <c r="C6" s="240"/>
      <c r="D6" s="238"/>
      <c r="E6" s="248"/>
      <c r="F6" s="238" t="s">
        <v>128</v>
      </c>
      <c r="G6" s="238"/>
      <c r="H6" s="238"/>
      <c r="I6" s="238"/>
      <c r="J6" s="238"/>
      <c r="K6" s="238"/>
    </row>
    <row r="7" spans="1:21" ht="15.75" thickBot="1">
      <c r="A7" s="235"/>
      <c r="B7" s="241"/>
      <c r="C7" s="242"/>
      <c r="D7" s="238"/>
      <c r="E7" s="243"/>
      <c r="F7" s="238" t="s">
        <v>129</v>
      </c>
      <c r="G7" s="238"/>
      <c r="H7" s="238"/>
      <c r="I7" s="238"/>
      <c r="J7" s="238"/>
      <c r="K7" s="238"/>
    </row>
    <row r="8" spans="1:21" ht="15.75" thickBot="1">
      <c r="A8" s="235"/>
      <c r="B8" s="250" t="s">
        <v>1181</v>
      </c>
      <c r="C8" s="251">
        <v>2022</v>
      </c>
      <c r="D8" s="246" t="s">
        <v>1234</v>
      </c>
      <c r="E8" s="253"/>
      <c r="F8" s="238" t="s">
        <v>130</v>
      </c>
      <c r="G8" s="238"/>
      <c r="H8" s="238"/>
      <c r="I8" s="238"/>
      <c r="J8" s="238"/>
      <c r="K8" s="238"/>
    </row>
    <row r="9" spans="1:21">
      <c r="A9" s="235"/>
      <c r="B9" s="462" t="s">
        <v>1182</v>
      </c>
      <c r="C9" s="292"/>
      <c r="D9" s="238"/>
      <c r="E9" s="238"/>
      <c r="F9" s="238"/>
      <c r="G9" s="238"/>
      <c r="H9" s="238"/>
      <c r="I9" s="238"/>
      <c r="J9" s="238"/>
      <c r="K9" s="238"/>
    </row>
    <row r="10" spans="1:21" s="389" customFormat="1" ht="15" customHeight="1">
      <c r="A10" s="235"/>
      <c r="B10" s="1392" t="s">
        <v>1236</v>
      </c>
      <c r="C10" s="1392"/>
      <c r="D10" s="1392"/>
      <c r="E10" s="1143" t="s">
        <v>1233</v>
      </c>
      <c r="F10" s="1419" t="s">
        <v>2095</v>
      </c>
      <c r="G10" s="1419"/>
      <c r="H10" s="1419"/>
      <c r="I10" s="1419"/>
      <c r="J10" s="1419"/>
      <c r="K10" s="1419"/>
      <c r="L10" s="1419"/>
      <c r="M10" s="1419"/>
      <c r="N10" s="1419"/>
      <c r="O10" s="1419"/>
      <c r="P10" s="1419"/>
      <c r="Q10" s="1419"/>
      <c r="R10" s="1419"/>
      <c r="S10" s="1141"/>
      <c r="T10" s="464"/>
      <c r="U10" s="464"/>
    </row>
    <row r="11" spans="1:21" s="389" customFormat="1" ht="27.75" customHeight="1">
      <c r="A11" s="235"/>
      <c r="B11" s="1405" t="s">
        <v>2097</v>
      </c>
      <c r="C11" s="1405"/>
      <c r="D11" s="1406"/>
      <c r="E11" s="1144" t="s">
        <v>1234</v>
      </c>
      <c r="F11" s="1419" t="s">
        <v>2157</v>
      </c>
      <c r="G11" s="1419"/>
      <c r="H11" s="1419"/>
      <c r="I11" s="1419"/>
      <c r="J11" s="1419"/>
      <c r="K11" s="1419"/>
      <c r="L11" s="1419"/>
      <c r="M11" s="1419"/>
      <c r="N11" s="1419"/>
      <c r="O11" s="1419"/>
      <c r="P11" s="1419"/>
      <c r="Q11" s="1419"/>
      <c r="R11" s="1419"/>
      <c r="S11" s="1142"/>
    </row>
    <row r="12" spans="1:21" s="1123" customFormat="1" ht="23.45" customHeight="1">
      <c r="A12" s="1122"/>
      <c r="B12" s="1407" t="s">
        <v>2096</v>
      </c>
      <c r="C12" s="1407"/>
      <c r="D12" s="1408"/>
      <c r="E12" s="1419" t="s">
        <v>2107</v>
      </c>
      <c r="F12" s="1419"/>
      <c r="G12" s="1419"/>
      <c r="H12" s="1419"/>
      <c r="I12" s="1419"/>
      <c r="J12" s="1419"/>
      <c r="K12" s="1419"/>
      <c r="L12" s="1419"/>
      <c r="M12" s="1419"/>
      <c r="N12" s="1419"/>
      <c r="O12" s="1419"/>
      <c r="P12" s="1419"/>
      <c r="Q12" s="1419"/>
      <c r="R12" s="1419"/>
    </row>
    <row r="13" spans="1:21" s="389" customFormat="1" ht="21.95" customHeight="1">
      <c r="A13" s="235"/>
      <c r="B13" s="462"/>
      <c r="C13" s="292"/>
      <c r="D13" s="467" t="s">
        <v>1238</v>
      </c>
      <c r="E13" s="1398"/>
      <c r="F13" s="1398"/>
      <c r="G13" s="1398"/>
      <c r="H13" s="1398"/>
      <c r="I13" s="1398"/>
      <c r="J13" s="1398"/>
      <c r="K13" s="1398"/>
      <c r="L13" s="1398"/>
      <c r="M13" s="1398"/>
      <c r="N13" s="1398"/>
      <c r="O13" s="1398"/>
      <c r="P13" s="1398"/>
      <c r="Q13" s="1398"/>
      <c r="R13" s="1398"/>
    </row>
    <row r="14" spans="1:21" s="389" customFormat="1" ht="6.95" customHeight="1" thickBot="1">
      <c r="A14" s="235"/>
      <c r="B14" s="462"/>
      <c r="C14" s="292"/>
      <c r="D14" s="238"/>
      <c r="E14" s="238"/>
      <c r="F14" s="238"/>
      <c r="G14" s="238"/>
      <c r="H14" s="238"/>
      <c r="I14" s="238"/>
      <c r="J14" s="238"/>
      <c r="K14" s="238"/>
    </row>
    <row r="15" spans="1:21" ht="15.75" thickBot="1">
      <c r="A15" s="235"/>
      <c r="B15" s="1369" t="s">
        <v>2</v>
      </c>
      <c r="C15" s="257"/>
      <c r="D15" s="1351" t="s">
        <v>3</v>
      </c>
      <c r="E15" s="1352"/>
      <c r="F15" s="1352"/>
      <c r="G15" s="1352"/>
      <c r="H15" s="1352"/>
      <c r="I15" s="1352"/>
      <c r="J15" s="1353"/>
      <c r="K15" s="238"/>
    </row>
    <row r="16" spans="1:21" ht="24.75" thickBot="1">
      <c r="A16" s="235"/>
      <c r="B16" s="1370"/>
      <c r="C16" s="261"/>
      <c r="D16" s="262" t="s">
        <v>193</v>
      </c>
      <c r="E16" s="208">
        <v>0</v>
      </c>
      <c r="F16" s="238"/>
      <c r="G16" s="238"/>
      <c r="H16" s="238"/>
      <c r="I16" s="238"/>
      <c r="J16" s="263"/>
      <c r="K16" s="238"/>
    </row>
    <row r="17" spans="1:11" ht="40.5" customHeight="1" thickBot="1">
      <c r="A17" s="235"/>
      <c r="B17" s="1370"/>
      <c r="C17" s="261"/>
      <c r="D17" s="264" t="s">
        <v>2099</v>
      </c>
      <c r="E17" s="208">
        <v>0</v>
      </c>
      <c r="F17" s="238"/>
      <c r="G17" s="238"/>
      <c r="H17" s="238"/>
      <c r="I17" s="238"/>
      <c r="J17" s="263"/>
      <c r="K17" s="238"/>
    </row>
    <row r="18" spans="1:11" ht="36.75" thickBot="1">
      <c r="A18" s="235"/>
      <c r="B18" s="1370"/>
      <c r="C18" s="261"/>
      <c r="D18" s="264" t="s">
        <v>194</v>
      </c>
      <c r="E18" s="208">
        <v>0</v>
      </c>
      <c r="F18" s="238"/>
      <c r="G18" s="238"/>
      <c r="H18" s="238"/>
      <c r="I18" s="238"/>
      <c r="J18" s="263"/>
      <c r="K18" s="238"/>
    </row>
    <row r="19" spans="1:11" ht="15.75" thickBot="1">
      <c r="A19" s="235"/>
      <c r="B19" s="1370"/>
      <c r="C19" s="265"/>
      <c r="D19" s="1381"/>
      <c r="E19" s="1382"/>
      <c r="F19" s="1382"/>
      <c r="G19" s="1382"/>
      <c r="H19" s="1382"/>
      <c r="I19" s="1382"/>
      <c r="J19" s="1383"/>
      <c r="K19" s="238"/>
    </row>
    <row r="20" spans="1:11" ht="15.75" thickBot="1">
      <c r="A20" s="235"/>
      <c r="B20" s="1370"/>
      <c r="C20" s="268" t="s">
        <v>19</v>
      </c>
      <c r="D20" s="262" t="s">
        <v>150</v>
      </c>
      <c r="E20" s="269" t="s">
        <v>20</v>
      </c>
      <c r="F20" s="269" t="s">
        <v>21</v>
      </c>
      <c r="G20" s="269" t="s">
        <v>22</v>
      </c>
      <c r="H20" s="269" t="s">
        <v>23</v>
      </c>
      <c r="I20" s="269" t="s">
        <v>151</v>
      </c>
      <c r="J20" s="111"/>
      <c r="K20" s="238"/>
    </row>
    <row r="21" spans="1:11" ht="36.75" thickBot="1">
      <c r="A21" s="235"/>
      <c r="B21" s="1370"/>
      <c r="C21" s="271" t="s">
        <v>152</v>
      </c>
      <c r="D21" s="264" t="s">
        <v>195</v>
      </c>
      <c r="E21" s="208">
        <v>0</v>
      </c>
      <c r="F21" s="208">
        <v>0</v>
      </c>
      <c r="G21" s="208">
        <v>0</v>
      </c>
      <c r="H21" s="208"/>
      <c r="I21" s="272">
        <f>SUM(E21:H21)</f>
        <v>0</v>
      </c>
      <c r="J21" s="112"/>
      <c r="K21" s="238"/>
    </row>
    <row r="22" spans="1:11" ht="36.75" thickBot="1">
      <c r="A22" s="235"/>
      <c r="B22" s="1370"/>
      <c r="C22" s="271" t="s">
        <v>154</v>
      </c>
      <c r="D22" s="264" t="s">
        <v>196</v>
      </c>
      <c r="E22" s="208">
        <v>0</v>
      </c>
      <c r="F22" s="208">
        <v>0</v>
      </c>
      <c r="G22" s="208">
        <v>0</v>
      </c>
      <c r="H22" s="208"/>
      <c r="I22" s="272">
        <f>SUM(E22:H22)</f>
        <v>0</v>
      </c>
      <c r="J22" s="112"/>
      <c r="K22" s="238"/>
    </row>
    <row r="23" spans="1:11" ht="36.75" thickBot="1">
      <c r="A23" s="235"/>
      <c r="B23" s="1371"/>
      <c r="C23" s="271" t="s">
        <v>156</v>
      </c>
      <c r="D23" s="264" t="s">
        <v>197</v>
      </c>
      <c r="E23" s="189" t="str">
        <f>IFERROR(E22/E21,"N.A.")</f>
        <v>N.A.</v>
      </c>
      <c r="F23" s="189" t="str">
        <f>IFERROR(F22/F21,"N.A.")</f>
        <v>N.A.</v>
      </c>
      <c r="G23" s="189" t="str">
        <f>IFERROR(G22/G21,"N.A.")</f>
        <v>N.A.</v>
      </c>
      <c r="H23" s="189" t="str">
        <f>IFERROR(H22/H21,"N.A.")</f>
        <v>N.A.</v>
      </c>
      <c r="I23" s="189" t="str">
        <f>IFERROR(I22/I21,"N.A.")</f>
        <v>N.A.</v>
      </c>
      <c r="J23" s="113"/>
      <c r="K23" s="238"/>
    </row>
    <row r="24" spans="1:11" ht="24" customHeight="1" thickBot="1">
      <c r="A24" s="235"/>
      <c r="B24" s="274" t="s">
        <v>34</v>
      </c>
      <c r="C24" s="275"/>
      <c r="D24" s="1378" t="s">
        <v>198</v>
      </c>
      <c r="E24" s="1379"/>
      <c r="F24" s="1379"/>
      <c r="G24" s="1379"/>
      <c r="H24" s="1379"/>
      <c r="I24" s="1379"/>
      <c r="J24" s="1380"/>
      <c r="K24" s="238"/>
    </row>
    <row r="25" spans="1:11" ht="24.75" thickBot="1">
      <c r="A25" s="235"/>
      <c r="B25" s="274" t="s">
        <v>36</v>
      </c>
      <c r="C25" s="275"/>
      <c r="D25" s="1378" t="s">
        <v>159</v>
      </c>
      <c r="E25" s="1379"/>
      <c r="F25" s="1379"/>
      <c r="G25" s="1379"/>
      <c r="H25" s="1379"/>
      <c r="I25" s="1379"/>
      <c r="J25" s="1380"/>
      <c r="K25" s="238"/>
    </row>
    <row r="26" spans="1:11" ht="15.75" thickBot="1">
      <c r="A26" s="235"/>
      <c r="B26" s="239"/>
      <c r="C26" s="240"/>
      <c r="D26" s="238"/>
      <c r="E26" s="238"/>
      <c r="F26" s="238"/>
      <c r="G26" s="238"/>
      <c r="H26" s="238"/>
      <c r="I26" s="238"/>
      <c r="J26" s="238"/>
      <c r="K26" s="238"/>
    </row>
    <row r="27" spans="1:11" ht="15" customHeight="1" thickBot="1">
      <c r="A27" s="235"/>
      <c r="B27" s="280" t="s">
        <v>38</v>
      </c>
      <c r="C27" s="281"/>
      <c r="D27" s="281"/>
      <c r="E27" s="281"/>
      <c r="F27" s="282"/>
      <c r="G27" s="238"/>
      <c r="H27" s="238"/>
      <c r="I27" s="238"/>
      <c r="J27" s="238"/>
      <c r="K27" s="238"/>
    </row>
    <row r="28" spans="1:11" ht="48.75" thickBot="1">
      <c r="A28" s="235"/>
      <c r="B28" s="1369">
        <v>1</v>
      </c>
      <c r="C28" s="261"/>
      <c r="D28" s="278" t="s">
        <v>39</v>
      </c>
      <c r="E28" s="447" t="s">
        <v>1421</v>
      </c>
      <c r="F28" s="304"/>
      <c r="G28" s="238"/>
      <c r="H28" s="238"/>
      <c r="I28" s="238"/>
      <c r="J28" s="238"/>
      <c r="K28" s="238"/>
    </row>
    <row r="29" spans="1:11" ht="36.75" thickBot="1">
      <c r="A29" s="235"/>
      <c r="B29" s="1370"/>
      <c r="C29" s="261"/>
      <c r="D29" s="264" t="s">
        <v>40</v>
      </c>
      <c r="E29" s="447" t="s">
        <v>1363</v>
      </c>
      <c r="F29" s="304"/>
      <c r="G29" s="238"/>
      <c r="H29" s="238"/>
      <c r="I29" s="238"/>
      <c r="J29" s="238"/>
      <c r="K29" s="238"/>
    </row>
    <row r="30" spans="1:11" ht="15.75" thickBot="1">
      <c r="A30" s="235"/>
      <c r="B30" s="1370"/>
      <c r="C30" s="261"/>
      <c r="D30" s="264" t="s">
        <v>41</v>
      </c>
      <c r="E30" s="447" t="s">
        <v>1476</v>
      </c>
      <c r="F30" s="304"/>
      <c r="G30" s="238"/>
      <c r="H30" s="238"/>
      <c r="I30" s="238"/>
      <c r="J30" s="238"/>
      <c r="K30" s="238"/>
    </row>
    <row r="31" spans="1:11" ht="15.75" thickBot="1">
      <c r="A31" s="235"/>
      <c r="B31" s="1370"/>
      <c r="C31" s="261"/>
      <c r="D31" s="264" t="s">
        <v>42</v>
      </c>
      <c r="E31" s="447" t="s">
        <v>1390</v>
      </c>
      <c r="F31" s="304"/>
      <c r="G31" s="238"/>
      <c r="H31" s="238"/>
      <c r="I31" s="238"/>
      <c r="J31" s="238"/>
      <c r="K31" s="238"/>
    </row>
    <row r="32" spans="1:11" ht="36.75" thickBot="1">
      <c r="A32" s="235"/>
      <c r="B32" s="1370"/>
      <c r="C32" s="261"/>
      <c r="D32" s="264" t="s">
        <v>43</v>
      </c>
      <c r="E32" s="447" t="s">
        <v>1391</v>
      </c>
      <c r="F32" s="304"/>
      <c r="G32" s="238"/>
      <c r="H32" s="238"/>
      <c r="I32" s="238"/>
      <c r="J32" s="238"/>
      <c r="K32" s="238"/>
    </row>
    <row r="33" spans="1:11" ht="15.75" thickBot="1">
      <c r="A33" s="235"/>
      <c r="B33" s="1370"/>
      <c r="C33" s="261"/>
      <c r="D33" s="264" t="s">
        <v>44</v>
      </c>
      <c r="E33" s="447">
        <v>5748960</v>
      </c>
      <c r="F33" s="304"/>
      <c r="G33" s="238"/>
      <c r="H33" s="238"/>
      <c r="I33" s="238"/>
      <c r="J33" s="238"/>
      <c r="K33" s="238"/>
    </row>
    <row r="34" spans="1:11" ht="24.75" thickBot="1">
      <c r="A34" s="235"/>
      <c r="B34" s="1371"/>
      <c r="C34" s="271"/>
      <c r="D34" s="264" t="s">
        <v>45</v>
      </c>
      <c r="E34" s="447" t="s">
        <v>1379</v>
      </c>
      <c r="F34" s="304"/>
      <c r="G34" s="238"/>
      <c r="H34" s="238"/>
      <c r="I34" s="238"/>
      <c r="J34" s="238"/>
      <c r="K34" s="238"/>
    </row>
    <row r="35" spans="1:11" ht="15.75" thickBot="1">
      <c r="A35" s="235"/>
      <c r="B35" s="239"/>
      <c r="C35" s="240"/>
      <c r="D35" s="238"/>
      <c r="E35" s="238"/>
      <c r="F35" s="238"/>
      <c r="G35" s="238"/>
      <c r="H35" s="238"/>
      <c r="I35" s="238"/>
      <c r="J35" s="238"/>
      <c r="K35" s="238"/>
    </row>
    <row r="36" spans="1:11" ht="15" customHeight="1" thickBot="1">
      <c r="A36" s="235"/>
      <c r="B36" s="280" t="s">
        <v>46</v>
      </c>
      <c r="C36" s="281"/>
      <c r="D36" s="281"/>
      <c r="E36" s="281"/>
      <c r="F36" s="282"/>
      <c r="G36" s="238"/>
      <c r="H36" s="238"/>
      <c r="I36" s="238"/>
      <c r="J36" s="238"/>
      <c r="K36" s="238"/>
    </row>
    <row r="37" spans="1:11" ht="48.75" thickBot="1">
      <c r="A37" s="235"/>
      <c r="B37" s="1369">
        <v>1</v>
      </c>
      <c r="C37" s="261"/>
      <c r="D37" s="278" t="s">
        <v>39</v>
      </c>
      <c r="E37" s="578" t="s">
        <v>47</v>
      </c>
      <c r="F37" s="304"/>
      <c r="G37" s="238"/>
      <c r="H37" s="238"/>
      <c r="I37" s="238"/>
      <c r="J37" s="238"/>
      <c r="K37" s="238"/>
    </row>
    <row r="38" spans="1:11" ht="72.75" thickBot="1">
      <c r="A38" s="235"/>
      <c r="B38" s="1370"/>
      <c r="C38" s="261"/>
      <c r="D38" s="264" t="s">
        <v>40</v>
      </c>
      <c r="E38" s="578" t="s">
        <v>160</v>
      </c>
      <c r="F38" s="304"/>
      <c r="G38" s="238"/>
      <c r="H38" s="238"/>
      <c r="I38" s="238"/>
      <c r="J38" s="238"/>
      <c r="K38" s="238"/>
    </row>
    <row r="39" spans="1:11" ht="15.75" thickBot="1">
      <c r="A39" s="235"/>
      <c r="B39" s="1370"/>
      <c r="C39" s="261"/>
      <c r="D39" s="264" t="s">
        <v>41</v>
      </c>
      <c r="E39" s="291"/>
      <c r="F39" s="304"/>
      <c r="G39" s="238"/>
      <c r="H39" s="238"/>
      <c r="I39" s="238"/>
      <c r="J39" s="238"/>
      <c r="K39" s="238"/>
    </row>
    <row r="40" spans="1:11" ht="15.75" thickBot="1">
      <c r="A40" s="235"/>
      <c r="B40" s="1370"/>
      <c r="C40" s="261"/>
      <c r="D40" s="264" t="s">
        <v>42</v>
      </c>
      <c r="E40" s="291"/>
      <c r="F40" s="304"/>
      <c r="G40" s="238"/>
      <c r="H40" s="238"/>
      <c r="I40" s="238"/>
      <c r="J40" s="238"/>
      <c r="K40" s="238"/>
    </row>
    <row r="41" spans="1:11" ht="15.75" thickBot="1">
      <c r="A41" s="235"/>
      <c r="B41" s="1370"/>
      <c r="C41" s="261"/>
      <c r="D41" s="264" t="s">
        <v>43</v>
      </c>
      <c r="E41" s="291"/>
      <c r="F41" s="304"/>
      <c r="G41" s="238"/>
      <c r="H41" s="238"/>
      <c r="I41" s="238"/>
      <c r="J41" s="238"/>
      <c r="K41" s="238"/>
    </row>
    <row r="42" spans="1:11" ht="15.75" thickBot="1">
      <c r="A42" s="235"/>
      <c r="B42" s="1370"/>
      <c r="C42" s="261"/>
      <c r="D42" s="264" t="s">
        <v>44</v>
      </c>
      <c r="E42" s="291"/>
      <c r="F42" s="304"/>
      <c r="G42" s="238"/>
      <c r="H42" s="238"/>
      <c r="I42" s="238"/>
      <c r="J42" s="238"/>
      <c r="K42" s="238"/>
    </row>
    <row r="43" spans="1:11" ht="15.75" thickBot="1">
      <c r="A43" s="235"/>
      <c r="B43" s="1371"/>
      <c r="C43" s="271"/>
      <c r="D43" s="264" t="s">
        <v>45</v>
      </c>
      <c r="E43" s="291"/>
      <c r="F43" s="304"/>
      <c r="G43" s="238"/>
      <c r="H43" s="238"/>
      <c r="I43" s="238"/>
      <c r="J43" s="238"/>
      <c r="K43" s="238"/>
    </row>
    <row r="44" spans="1:11" ht="15.75" thickBot="1">
      <c r="A44" s="235"/>
      <c r="B44" s="239"/>
      <c r="C44" s="240"/>
      <c r="D44" s="238"/>
      <c r="E44" s="238"/>
      <c r="F44" s="238"/>
      <c r="G44" s="238"/>
      <c r="H44" s="238"/>
      <c r="I44" s="238"/>
      <c r="J44" s="238"/>
      <c r="K44" s="238"/>
    </row>
    <row r="45" spans="1:11" ht="15" customHeight="1" thickBot="1">
      <c r="A45" s="235"/>
      <c r="B45" s="280" t="s">
        <v>49</v>
      </c>
      <c r="C45" s="281"/>
      <c r="D45" s="281"/>
      <c r="E45" s="282"/>
      <c r="F45" s="235"/>
      <c r="G45" s="238"/>
      <c r="H45" s="238"/>
      <c r="I45" s="238"/>
      <c r="J45" s="238"/>
      <c r="K45" s="238"/>
    </row>
    <row r="46" spans="1:11" ht="24.75" thickBot="1">
      <c r="A46" s="235"/>
      <c r="B46" s="274" t="s">
        <v>50</v>
      </c>
      <c r="C46" s="264" t="s">
        <v>51</v>
      </c>
      <c r="D46" s="264" t="s">
        <v>52</v>
      </c>
      <c r="E46" s="264" t="s">
        <v>53</v>
      </c>
      <c r="F46" s="238"/>
      <c r="G46" s="238"/>
      <c r="H46" s="238"/>
      <c r="I46" s="238"/>
      <c r="J46" s="238"/>
      <c r="K46" s="235"/>
    </row>
    <row r="47" spans="1:11" ht="72.75" thickBot="1">
      <c r="A47" s="235"/>
      <c r="B47" s="284">
        <v>42401</v>
      </c>
      <c r="C47" s="264">
        <v>0.01</v>
      </c>
      <c r="D47" s="295" t="s">
        <v>199</v>
      </c>
      <c r="E47" s="264"/>
      <c r="F47" s="238"/>
      <c r="G47" s="238"/>
      <c r="H47" s="238"/>
      <c r="I47" s="238"/>
      <c r="J47" s="238"/>
      <c r="K47" s="235"/>
    </row>
    <row r="48" spans="1:11" ht="15.75" thickBot="1">
      <c r="A48" s="235"/>
      <c r="B48" s="296"/>
      <c r="C48" s="297"/>
      <c r="D48" s="238"/>
      <c r="E48" s="238"/>
      <c r="F48" s="238"/>
      <c r="G48" s="238"/>
      <c r="H48" s="238"/>
      <c r="I48" s="238"/>
      <c r="J48" s="238"/>
      <c r="K48" s="238"/>
    </row>
    <row r="49" spans="1:11">
      <c r="A49" s="235"/>
      <c r="B49" s="286" t="s">
        <v>55</v>
      </c>
      <c r="C49" s="287"/>
      <c r="D49" s="238"/>
      <c r="E49" s="238"/>
      <c r="F49" s="238"/>
      <c r="G49" s="238"/>
      <c r="H49" s="238"/>
      <c r="I49" s="238"/>
      <c r="J49" s="238"/>
      <c r="K49" s="238"/>
    </row>
    <row r="50" spans="1:11">
      <c r="A50" s="235"/>
      <c r="B50" s="1420"/>
      <c r="C50" s="1421"/>
      <c r="D50" s="1421"/>
      <c r="E50" s="1422"/>
      <c r="F50" s="238"/>
      <c r="G50" s="238"/>
      <c r="H50" s="238"/>
      <c r="I50" s="238"/>
      <c r="J50" s="238"/>
      <c r="K50" s="238"/>
    </row>
    <row r="51" spans="1:11">
      <c r="A51" s="235"/>
      <c r="B51" s="1423"/>
      <c r="C51" s="1424"/>
      <c r="D51" s="1424"/>
      <c r="E51" s="1425"/>
      <c r="F51" s="238"/>
      <c r="G51" s="238"/>
      <c r="H51" s="238"/>
      <c r="I51" s="238"/>
      <c r="J51" s="238"/>
      <c r="K51" s="238"/>
    </row>
    <row r="52" spans="1:11" ht="15.75" thickBot="1">
      <c r="A52" s="235"/>
      <c r="B52" s="238"/>
      <c r="C52" s="254"/>
      <c r="D52" s="238"/>
      <c r="E52" s="238"/>
      <c r="F52" s="238"/>
      <c r="G52" s="238"/>
      <c r="H52" s="238"/>
      <c r="I52" s="238"/>
      <c r="J52" s="238"/>
      <c r="K52" s="238"/>
    </row>
    <row r="53" spans="1:11" ht="24.75" thickBot="1">
      <c r="A53" s="235"/>
      <c r="B53" s="298" t="s">
        <v>56</v>
      </c>
      <c r="C53" s="299"/>
      <c r="D53" s="238"/>
      <c r="E53" s="238"/>
      <c r="F53" s="238"/>
      <c r="G53" s="238"/>
      <c r="H53" s="238"/>
      <c r="I53" s="238"/>
      <c r="J53" s="238"/>
      <c r="K53" s="238"/>
    </row>
    <row r="54" spans="1:11" ht="15.75" thickBot="1">
      <c r="A54" s="235"/>
      <c r="B54" s="239"/>
      <c r="C54" s="240"/>
      <c r="D54" s="238"/>
      <c r="E54" s="238"/>
      <c r="F54" s="238"/>
      <c r="G54" s="238"/>
      <c r="H54" s="238"/>
      <c r="I54" s="238"/>
      <c r="J54" s="238"/>
      <c r="K54" s="238"/>
    </row>
    <row r="55" spans="1:11" ht="60.75" thickBot="1">
      <c r="A55" s="235"/>
      <c r="B55" s="288" t="s">
        <v>57</v>
      </c>
      <c r="C55" s="268"/>
      <c r="D55" s="262" t="s">
        <v>184</v>
      </c>
      <c r="E55" s="238"/>
      <c r="F55" s="238"/>
      <c r="G55" s="238"/>
      <c r="H55" s="238"/>
      <c r="I55" s="238"/>
      <c r="J55" s="238"/>
      <c r="K55" s="238"/>
    </row>
    <row r="56" spans="1:11">
      <c r="A56" s="235"/>
      <c r="B56" s="1369" t="s">
        <v>59</v>
      </c>
      <c r="C56" s="261"/>
      <c r="D56" s="300" t="s">
        <v>60</v>
      </c>
      <c r="E56" s="238"/>
      <c r="F56" s="238"/>
      <c r="G56" s="238"/>
      <c r="H56" s="238"/>
      <c r="I56" s="238"/>
      <c r="J56" s="238"/>
      <c r="K56" s="238"/>
    </row>
    <row r="57" spans="1:11" ht="60">
      <c r="A57" s="235"/>
      <c r="B57" s="1370"/>
      <c r="C57" s="261"/>
      <c r="D57" s="301" t="s">
        <v>185</v>
      </c>
      <c r="E57" s="238"/>
      <c r="F57" s="238"/>
      <c r="G57" s="238"/>
      <c r="H57" s="238"/>
      <c r="I57" s="238"/>
      <c r="J57" s="238"/>
      <c r="K57" s="238"/>
    </row>
    <row r="58" spans="1:11">
      <c r="A58" s="235"/>
      <c r="B58" s="1370"/>
      <c r="C58" s="261"/>
      <c r="D58" s="300" t="s">
        <v>134</v>
      </c>
      <c r="E58" s="238"/>
      <c r="F58" s="238"/>
      <c r="G58" s="238"/>
      <c r="H58" s="238"/>
      <c r="I58" s="238"/>
      <c r="J58" s="238"/>
      <c r="K58" s="238"/>
    </row>
    <row r="59" spans="1:11" ht="24">
      <c r="A59" s="235"/>
      <c r="B59" s="1370"/>
      <c r="C59" s="261"/>
      <c r="D59" s="301" t="s">
        <v>136</v>
      </c>
      <c r="E59" s="238"/>
      <c r="F59" s="238"/>
      <c r="G59" s="238"/>
      <c r="H59" s="238"/>
      <c r="I59" s="238"/>
      <c r="J59" s="238"/>
      <c r="K59" s="238"/>
    </row>
    <row r="60" spans="1:11">
      <c r="A60" s="235"/>
      <c r="B60" s="1370"/>
      <c r="C60" s="261"/>
      <c r="D60" s="301" t="s">
        <v>165</v>
      </c>
      <c r="E60" s="238"/>
      <c r="F60" s="238"/>
      <c r="G60" s="238"/>
      <c r="H60" s="238"/>
      <c r="I60" s="238"/>
      <c r="J60" s="238"/>
      <c r="K60" s="238"/>
    </row>
    <row r="61" spans="1:11" ht="36">
      <c r="A61" s="235"/>
      <c r="B61" s="1370"/>
      <c r="C61" s="261"/>
      <c r="D61" s="301" t="s">
        <v>140</v>
      </c>
      <c r="E61" s="238"/>
      <c r="F61" s="238"/>
      <c r="G61" s="238"/>
      <c r="H61" s="238"/>
      <c r="I61" s="238"/>
      <c r="J61" s="238"/>
      <c r="K61" s="238"/>
    </row>
    <row r="62" spans="1:11">
      <c r="A62" s="235"/>
      <c r="B62" s="1370"/>
      <c r="C62" s="261"/>
      <c r="D62" s="300" t="s">
        <v>141</v>
      </c>
      <c r="E62" s="238"/>
      <c r="F62" s="238"/>
      <c r="G62" s="238"/>
      <c r="H62" s="238"/>
      <c r="I62" s="238"/>
      <c r="J62" s="238"/>
      <c r="K62" s="238"/>
    </row>
    <row r="63" spans="1:11" ht="24.75" thickBot="1">
      <c r="A63" s="235"/>
      <c r="B63" s="1371"/>
      <c r="C63" s="271"/>
      <c r="D63" s="264" t="s">
        <v>142</v>
      </c>
      <c r="E63" s="238"/>
      <c r="F63" s="238"/>
      <c r="G63" s="238"/>
      <c r="H63" s="238"/>
      <c r="I63" s="238"/>
      <c r="J63" s="238"/>
      <c r="K63" s="238"/>
    </row>
    <row r="64" spans="1:11" ht="24.75" thickBot="1">
      <c r="A64" s="235"/>
      <c r="B64" s="274" t="s">
        <v>72</v>
      </c>
      <c r="C64" s="271"/>
      <c r="D64" s="264"/>
      <c r="E64" s="238"/>
      <c r="F64" s="238"/>
      <c r="G64" s="238"/>
      <c r="H64" s="238"/>
      <c r="I64" s="238"/>
      <c r="J64" s="238"/>
      <c r="K64" s="238"/>
    </row>
    <row r="65" spans="1:11" ht="108">
      <c r="A65" s="235"/>
      <c r="B65" s="1369" t="s">
        <v>73</v>
      </c>
      <c r="C65" s="261"/>
      <c r="D65" s="301" t="s">
        <v>186</v>
      </c>
      <c r="E65" s="238"/>
      <c r="F65" s="238"/>
      <c r="G65" s="238"/>
      <c r="H65" s="238"/>
      <c r="I65" s="238"/>
      <c r="J65" s="238"/>
      <c r="K65" s="238"/>
    </row>
    <row r="66" spans="1:11" ht="240">
      <c r="A66" s="235"/>
      <c r="B66" s="1370"/>
      <c r="C66" s="261"/>
      <c r="D66" s="301" t="s">
        <v>187</v>
      </c>
      <c r="E66" s="238"/>
      <c r="F66" s="238"/>
      <c r="G66" s="238"/>
      <c r="H66" s="238"/>
      <c r="I66" s="238"/>
      <c r="J66" s="238"/>
      <c r="K66" s="238"/>
    </row>
    <row r="67" spans="1:11" ht="48.75" thickBot="1">
      <c r="A67" s="235"/>
      <c r="B67" s="1371"/>
      <c r="C67" s="271"/>
      <c r="D67" s="264" t="s">
        <v>188</v>
      </c>
      <c r="E67" s="238"/>
      <c r="F67" s="238"/>
      <c r="G67" s="238"/>
      <c r="H67" s="238"/>
      <c r="I67" s="238"/>
      <c r="J67" s="238"/>
      <c r="K67" s="238"/>
    </row>
    <row r="68" spans="1:11">
      <c r="A68" s="235"/>
      <c r="B68" s="1369" t="s">
        <v>90</v>
      </c>
      <c r="C68" s="261"/>
      <c r="D68" s="301"/>
      <c r="E68" s="238"/>
      <c r="F68" s="238"/>
      <c r="G68" s="238"/>
      <c r="H68" s="238"/>
      <c r="I68" s="238"/>
      <c r="J68" s="238"/>
      <c r="K68" s="238"/>
    </row>
    <row r="69" spans="1:11">
      <c r="A69" s="235"/>
      <c r="B69" s="1370"/>
      <c r="C69" s="261"/>
      <c r="D69" s="302"/>
      <c r="E69" s="238"/>
      <c r="F69" s="238"/>
      <c r="G69" s="238"/>
      <c r="H69" s="238"/>
      <c r="I69" s="238"/>
      <c r="J69" s="238"/>
      <c r="K69" s="238"/>
    </row>
    <row r="70" spans="1:11">
      <c r="A70" s="235"/>
      <c r="B70" s="1370"/>
      <c r="C70" s="261"/>
      <c r="D70" s="301" t="s">
        <v>91</v>
      </c>
      <c r="E70" s="238"/>
      <c r="F70" s="238"/>
      <c r="G70" s="238"/>
      <c r="H70" s="238"/>
      <c r="I70" s="238"/>
      <c r="J70" s="238"/>
      <c r="K70" s="238"/>
    </row>
    <row r="71" spans="1:11" ht="37.5">
      <c r="A71" s="235"/>
      <c r="B71" s="1370"/>
      <c r="C71" s="261"/>
      <c r="D71" s="301" t="s">
        <v>189</v>
      </c>
      <c r="E71" s="238"/>
      <c r="F71" s="238"/>
      <c r="G71" s="238"/>
      <c r="H71" s="238"/>
      <c r="I71" s="238"/>
      <c r="J71" s="238"/>
      <c r="K71" s="238"/>
    </row>
    <row r="72" spans="1:11" ht="37.5">
      <c r="A72" s="235"/>
      <c r="B72" s="1370"/>
      <c r="C72" s="261"/>
      <c r="D72" s="301" t="s">
        <v>190</v>
      </c>
      <c r="E72" s="238"/>
      <c r="F72" s="238"/>
      <c r="G72" s="238"/>
      <c r="H72" s="238"/>
      <c r="I72" s="238"/>
      <c r="J72" s="238"/>
      <c r="K72" s="238"/>
    </row>
    <row r="73" spans="1:11" ht="37.5">
      <c r="A73" s="235"/>
      <c r="B73" s="1370"/>
      <c r="C73" s="261"/>
      <c r="D73" s="301" t="s">
        <v>191</v>
      </c>
      <c r="E73" s="238"/>
      <c r="F73" s="238"/>
      <c r="G73" s="238"/>
      <c r="H73" s="238"/>
      <c r="I73" s="238"/>
      <c r="J73" s="238"/>
      <c r="K73" s="238"/>
    </row>
    <row r="74" spans="1:11" ht="48.75" thickBot="1">
      <c r="A74" s="235"/>
      <c r="B74" s="1371"/>
      <c r="C74" s="271"/>
      <c r="D74" s="264" t="s">
        <v>192</v>
      </c>
      <c r="E74" s="238"/>
      <c r="F74" s="238"/>
      <c r="G74" s="238"/>
      <c r="H74" s="238"/>
      <c r="I74" s="238"/>
      <c r="J74" s="238"/>
      <c r="K74" s="238"/>
    </row>
    <row r="75" spans="1:11">
      <c r="A75" s="235"/>
      <c r="B75" s="238"/>
      <c r="C75" s="254"/>
      <c r="D75" s="238"/>
      <c r="E75" s="238"/>
      <c r="F75" s="238"/>
      <c r="G75" s="238"/>
      <c r="H75" s="238"/>
      <c r="I75" s="238"/>
      <c r="J75" s="238"/>
      <c r="K75" s="238"/>
    </row>
  </sheetData>
  <mergeCells count="23">
    <mergeCell ref="A1:P1"/>
    <mergeCell ref="A2:P2"/>
    <mergeCell ref="A3:P3"/>
    <mergeCell ref="A4:D4"/>
    <mergeCell ref="A5:P5"/>
    <mergeCell ref="B56:B63"/>
    <mergeCell ref="B65:B67"/>
    <mergeCell ref="B68:B74"/>
    <mergeCell ref="B15:B23"/>
    <mergeCell ref="D15:J15"/>
    <mergeCell ref="D19:J19"/>
    <mergeCell ref="D24:J24"/>
    <mergeCell ref="D25:J25"/>
    <mergeCell ref="B28:B34"/>
    <mergeCell ref="B37:B43"/>
    <mergeCell ref="B50:E51"/>
    <mergeCell ref="B10:D10"/>
    <mergeCell ref="E12:R12"/>
    <mergeCell ref="E13:R13"/>
    <mergeCell ref="B11:D11"/>
    <mergeCell ref="B12:D12"/>
    <mergeCell ref="F11:R11"/>
    <mergeCell ref="F10:R10"/>
  </mergeCells>
  <conditionalFormatting sqref="E12:R12">
    <cfRule type="expression" dxfId="129" priority="4">
      <formula>E11="SI SE REPORTA"</formula>
    </cfRule>
  </conditionalFormatting>
  <conditionalFormatting sqref="F10:R10">
    <cfRule type="expression" dxfId="128" priority="2">
      <formula>F9="SI SE REPORTA"</formula>
    </cfRule>
  </conditionalFormatting>
  <conditionalFormatting sqref="F11:R11">
    <cfRule type="expression" dxfId="127" priority="1">
      <formula>F10="SI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6:E18 E21:H22">
      <formula1>0</formula1>
    </dataValidation>
    <dataValidation allowBlank="1" showInputMessage="1" showErrorMessage="1" sqref="I21:I22"/>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U78"/>
  <sheetViews>
    <sheetView showGridLines="0" topLeftCell="A31" zoomScale="98" zoomScaleNormal="98" workbookViewId="0">
      <selection activeCell="D77" sqref="D77"/>
    </sheetView>
  </sheetViews>
  <sheetFormatPr baseColWidth="10" defaultRowHeight="15"/>
  <cols>
    <col min="1" max="1" width="1.85546875" customWidth="1"/>
    <col min="2" max="2" width="12.85546875" customWidth="1"/>
    <col min="3" max="3" width="5" style="86" bestFit="1" customWidth="1"/>
    <col min="4" max="4" width="34.85546875" customWidth="1"/>
    <col min="5" max="5" width="44.85546875" bestFit="1" customWidth="1"/>
    <col min="6" max="6" width="33.28515625" bestFit="1" customWidth="1"/>
  </cols>
  <sheetData>
    <row r="1" spans="1:21" s="490" customFormat="1" ht="100.5" customHeight="1" thickBot="1">
      <c r="A1" s="1334"/>
      <c r="B1" s="1335"/>
      <c r="C1" s="1335"/>
      <c r="D1" s="1335"/>
      <c r="E1" s="1335"/>
      <c r="F1" s="1335"/>
      <c r="G1" s="1335"/>
      <c r="H1" s="1335"/>
      <c r="I1" s="1335"/>
      <c r="J1" s="1335"/>
      <c r="K1" s="1335"/>
      <c r="L1" s="1335"/>
      <c r="M1" s="1335"/>
      <c r="N1" s="1335"/>
      <c r="O1" s="1335"/>
      <c r="P1" s="1336"/>
      <c r="Q1" s="389"/>
      <c r="R1" s="389"/>
    </row>
    <row r="2" spans="1:21" s="491" customFormat="1" ht="16.5" thickBot="1">
      <c r="A2" s="1342" t="str">
        <f>'Datos Generales'!C5</f>
        <v>Corporación Autónoma Regional del Cesar – CORPOCESAR</v>
      </c>
      <c r="B2" s="1343"/>
      <c r="C2" s="1343"/>
      <c r="D2" s="1343"/>
      <c r="E2" s="1343"/>
      <c r="F2" s="1343"/>
      <c r="G2" s="1343"/>
      <c r="H2" s="1343"/>
      <c r="I2" s="1343"/>
      <c r="J2" s="1343"/>
      <c r="K2" s="1343"/>
      <c r="L2" s="1343"/>
      <c r="M2" s="1343"/>
      <c r="N2" s="1343"/>
      <c r="O2" s="1343"/>
      <c r="P2" s="1344"/>
      <c r="Q2" s="389"/>
      <c r="R2" s="389"/>
    </row>
    <row r="3" spans="1:21" s="491" customFormat="1" ht="16.5" thickBot="1">
      <c r="A3" s="1337" t="s">
        <v>1294</v>
      </c>
      <c r="B3" s="1338"/>
      <c r="C3" s="1338"/>
      <c r="D3" s="1338"/>
      <c r="E3" s="1338"/>
      <c r="F3" s="1338"/>
      <c r="G3" s="1338"/>
      <c r="H3" s="1338"/>
      <c r="I3" s="1338"/>
      <c r="J3" s="1338"/>
      <c r="K3" s="1338"/>
      <c r="L3" s="1338"/>
      <c r="M3" s="1338"/>
      <c r="N3" s="1338"/>
      <c r="O3" s="1338"/>
      <c r="P3" s="1339"/>
      <c r="Q3" s="389"/>
      <c r="R3" s="389"/>
    </row>
    <row r="4" spans="1:21" s="491" customFormat="1" ht="16.5" thickBot="1">
      <c r="A4" s="1340" t="s">
        <v>1293</v>
      </c>
      <c r="B4" s="1341"/>
      <c r="C4" s="1341"/>
      <c r="D4" s="1341"/>
      <c r="E4" s="498">
        <v>2022</v>
      </c>
      <c r="F4" s="498"/>
      <c r="G4" s="498"/>
      <c r="H4" s="498"/>
      <c r="I4" s="498"/>
      <c r="J4" s="498"/>
      <c r="K4" s="498"/>
      <c r="L4" s="499"/>
      <c r="M4" s="499"/>
      <c r="N4" s="499"/>
      <c r="O4" s="499"/>
      <c r="P4" s="500"/>
      <c r="Q4" s="389"/>
      <c r="R4" s="389"/>
    </row>
    <row r="5" spans="1:21" s="235" customFormat="1" ht="16.5" customHeight="1" thickBot="1">
      <c r="A5" s="1337" t="s">
        <v>200</v>
      </c>
      <c r="B5" s="1338"/>
      <c r="C5" s="1338"/>
      <c r="D5" s="1338"/>
      <c r="E5" s="1338"/>
      <c r="F5" s="1338"/>
      <c r="G5" s="1338"/>
      <c r="H5" s="1338"/>
      <c r="I5" s="1338"/>
      <c r="J5" s="1338"/>
      <c r="K5" s="1338"/>
      <c r="L5" s="1338"/>
      <c r="M5" s="1338"/>
      <c r="N5" s="1338"/>
      <c r="O5" s="1338"/>
      <c r="P5" s="1339"/>
    </row>
    <row r="6" spans="1:21">
      <c r="A6" s="235"/>
      <c r="B6" s="239" t="s">
        <v>1</v>
      </c>
      <c r="C6" s="240"/>
      <c r="D6" s="238"/>
      <c r="E6" s="248"/>
      <c r="F6" s="238" t="s">
        <v>128</v>
      </c>
      <c r="G6" s="238"/>
      <c r="H6" s="238"/>
      <c r="I6" s="238"/>
      <c r="J6" s="238"/>
      <c r="K6" s="238"/>
    </row>
    <row r="7" spans="1:21" ht="15.75" thickBot="1">
      <c r="A7" s="235"/>
      <c r="B7" s="241"/>
      <c r="C7" s="242"/>
      <c r="D7" s="238"/>
      <c r="E7" s="243"/>
      <c r="F7" s="238" t="s">
        <v>129</v>
      </c>
      <c r="G7" s="238"/>
      <c r="H7" s="238"/>
      <c r="I7" s="238"/>
      <c r="J7" s="238"/>
      <c r="K7" s="238"/>
    </row>
    <row r="8" spans="1:21" ht="15.75" thickBot="1">
      <c r="A8" s="235"/>
      <c r="B8" s="250" t="s">
        <v>1181</v>
      </c>
      <c r="C8" s="251">
        <v>2022</v>
      </c>
      <c r="D8" s="246">
        <f>IF(E10="NO APLICA","NO APLICA",IF(E11="NO SE REPORTA","SIN INFORMACION",+G22))</f>
        <v>0.3984375</v>
      </c>
      <c r="E8" s="253"/>
      <c r="F8" s="238" t="s">
        <v>130</v>
      </c>
      <c r="G8" s="238"/>
      <c r="H8" s="238"/>
      <c r="I8" s="238"/>
      <c r="J8" s="238"/>
      <c r="K8" s="238"/>
    </row>
    <row r="9" spans="1:21">
      <c r="A9" s="235"/>
      <c r="B9" s="462" t="s">
        <v>1182</v>
      </c>
      <c r="C9" s="292"/>
      <c r="D9" s="238"/>
      <c r="E9" s="238"/>
      <c r="F9" s="238"/>
      <c r="G9" s="238"/>
      <c r="H9" s="238"/>
      <c r="I9" s="238"/>
      <c r="J9" s="238"/>
      <c r="K9" s="238"/>
    </row>
    <row r="10" spans="1:21" s="389" customFormat="1" ht="15" customHeight="1">
      <c r="A10" s="235"/>
      <c r="B10" s="1392" t="s">
        <v>1236</v>
      </c>
      <c r="C10" s="1392"/>
      <c r="D10" s="1392"/>
      <c r="E10" s="1146" t="s">
        <v>1233</v>
      </c>
      <c r="F10" s="1395" t="s">
        <v>2095</v>
      </c>
      <c r="G10" s="1396"/>
      <c r="H10" s="1396"/>
      <c r="I10" s="1396"/>
      <c r="J10" s="1396"/>
      <c r="K10" s="1396"/>
      <c r="L10" s="1396"/>
      <c r="M10" s="1396"/>
      <c r="N10" s="1396"/>
      <c r="O10" s="1396"/>
      <c r="P10" s="1396"/>
      <c r="Q10" s="1396"/>
      <c r="R10" s="1397"/>
      <c r="S10" s="1426"/>
      <c r="T10" s="1427"/>
      <c r="U10" s="464"/>
    </row>
    <row r="11" spans="1:21" s="389" customFormat="1" ht="14.45" customHeight="1">
      <c r="A11" s="235"/>
      <c r="B11" s="465"/>
      <c r="C11" s="466"/>
      <c r="D11" s="467" t="str">
        <f>IF(E10="SI APLICA","¿El indicador no se reporta por limitaciones de información disponible? ","")</f>
        <v xml:space="preserve">¿El indicador no se reporta por limitaciones de información disponible? </v>
      </c>
      <c r="E11" s="1147" t="s">
        <v>1235</v>
      </c>
      <c r="F11" s="1395"/>
      <c r="G11" s="1396"/>
      <c r="H11" s="1396"/>
      <c r="I11" s="1396"/>
      <c r="J11" s="1396"/>
      <c r="K11" s="1396"/>
      <c r="L11" s="1396"/>
      <c r="M11" s="1396"/>
      <c r="N11" s="1396"/>
      <c r="O11" s="1396"/>
      <c r="P11" s="1396"/>
      <c r="Q11" s="1396"/>
      <c r="R11" s="1397"/>
      <c r="S11" s="1428"/>
      <c r="T11" s="1429"/>
    </row>
    <row r="12" spans="1:21" s="389" customFormat="1" ht="23.45" customHeight="1">
      <c r="A12" s="235"/>
      <c r="B12" s="462"/>
      <c r="C12" s="292"/>
      <c r="D12" s="467" t="str">
        <f>IF(E11="SI SE REPORTA","¿Qué programas o proyectos del Plan de Acción están asociados al indicador? ","")</f>
        <v xml:space="preserve">¿Qué programas o proyectos del Plan de Acción están asociados al indicador? </v>
      </c>
      <c r="E12" s="1430" t="s">
        <v>2108</v>
      </c>
      <c r="F12" s="1430"/>
      <c r="G12" s="1430"/>
      <c r="H12" s="1430"/>
      <c r="I12" s="1430"/>
      <c r="J12" s="1430"/>
      <c r="K12" s="1430"/>
      <c r="L12" s="1430"/>
      <c r="M12" s="1430"/>
      <c r="N12" s="1430"/>
      <c r="O12" s="1430"/>
      <c r="P12" s="1430"/>
      <c r="Q12" s="1430"/>
      <c r="R12" s="1430"/>
    </row>
    <row r="13" spans="1:21" s="389" customFormat="1" ht="21.95" customHeight="1">
      <c r="A13" s="235"/>
      <c r="B13" s="462"/>
      <c r="C13" s="292"/>
      <c r="D13" s="467" t="s">
        <v>1238</v>
      </c>
      <c r="E13" s="1395"/>
      <c r="F13" s="1396"/>
      <c r="G13" s="1396"/>
      <c r="H13" s="1396"/>
      <c r="I13" s="1396"/>
      <c r="J13" s="1396"/>
      <c r="K13" s="1396"/>
      <c r="L13" s="1396"/>
      <c r="M13" s="1396"/>
      <c r="N13" s="1396"/>
      <c r="O13" s="1396"/>
      <c r="P13" s="1396"/>
      <c r="Q13" s="1396"/>
      <c r="R13" s="1397"/>
    </row>
    <row r="14" spans="1:21" s="389" customFormat="1" ht="6.95" customHeight="1" thickBot="1">
      <c r="A14" s="235"/>
      <c r="B14" s="462"/>
      <c r="C14" s="292"/>
      <c r="D14" s="238"/>
      <c r="E14" s="238"/>
      <c r="F14" s="238"/>
      <c r="G14" s="238"/>
      <c r="H14" s="238"/>
      <c r="I14" s="238"/>
      <c r="J14" s="238"/>
      <c r="K14" s="238"/>
    </row>
    <row r="15" spans="1:21" ht="15.75" thickBot="1">
      <c r="A15" s="235"/>
      <c r="B15" s="1369" t="s">
        <v>2</v>
      </c>
      <c r="C15" s="257"/>
      <c r="D15" s="1351" t="s">
        <v>3</v>
      </c>
      <c r="E15" s="1352"/>
      <c r="F15" s="1352"/>
      <c r="G15" s="1352"/>
      <c r="H15" s="1352"/>
      <c r="I15" s="1352"/>
      <c r="J15" s="1353"/>
      <c r="K15" s="238"/>
    </row>
    <row r="16" spans="1:21" ht="48.75" thickBot="1">
      <c r="A16" s="235"/>
      <c r="B16" s="1370"/>
      <c r="C16" s="261"/>
      <c r="D16" s="262" t="s">
        <v>2146</v>
      </c>
      <c r="E16" s="208">
        <v>512</v>
      </c>
      <c r="F16" s="238"/>
      <c r="G16" s="238"/>
      <c r="H16" s="238"/>
      <c r="I16" s="238"/>
      <c r="J16" s="263"/>
      <c r="K16" s="238"/>
    </row>
    <row r="17" spans="1:11" ht="48.75" thickBot="1">
      <c r="A17" s="235"/>
      <c r="B17" s="1370"/>
      <c r="C17" s="261"/>
      <c r="D17" s="264" t="s">
        <v>214</v>
      </c>
      <c r="E17" s="208">
        <v>512</v>
      </c>
      <c r="F17" s="238"/>
      <c r="G17" s="238"/>
      <c r="H17" s="238"/>
      <c r="I17" s="238"/>
      <c r="J17" s="263"/>
      <c r="K17" s="238"/>
    </row>
    <row r="18" spans="1:11" ht="15.75" thickBot="1">
      <c r="A18" s="235"/>
      <c r="B18" s="1370"/>
      <c r="C18" s="265"/>
      <c r="D18" s="1381"/>
      <c r="E18" s="1382"/>
      <c r="F18" s="1382"/>
      <c r="G18" s="1382"/>
      <c r="H18" s="1382"/>
      <c r="I18" s="1382"/>
      <c r="J18" s="1383"/>
      <c r="K18" s="238"/>
    </row>
    <row r="19" spans="1:11" ht="15.75" thickBot="1">
      <c r="A19" s="235"/>
      <c r="B19" s="1370"/>
      <c r="C19" s="268" t="s">
        <v>19</v>
      </c>
      <c r="D19" s="262" t="s">
        <v>150</v>
      </c>
      <c r="E19" s="305" t="s">
        <v>20</v>
      </c>
      <c r="F19" s="305" t="s">
        <v>21</v>
      </c>
      <c r="G19" s="305" t="s">
        <v>22</v>
      </c>
      <c r="H19" s="305" t="s">
        <v>23</v>
      </c>
      <c r="I19" s="225" t="s">
        <v>55</v>
      </c>
      <c r="J19" s="111"/>
      <c r="K19" s="238"/>
    </row>
    <row r="20" spans="1:11" ht="36.75" thickBot="1">
      <c r="A20" s="235"/>
      <c r="B20" s="1370"/>
      <c r="C20" s="271" t="s">
        <v>152</v>
      </c>
      <c r="D20" s="264" t="s">
        <v>215</v>
      </c>
      <c r="E20" s="208">
        <v>21</v>
      </c>
      <c r="F20" s="208">
        <v>331</v>
      </c>
      <c r="G20" s="208">
        <v>512</v>
      </c>
      <c r="H20" s="208"/>
      <c r="I20" s="31"/>
      <c r="J20" s="112"/>
      <c r="K20" s="238"/>
    </row>
    <row r="21" spans="1:11" ht="36.75" thickBot="1">
      <c r="A21" s="235"/>
      <c r="B21" s="1370"/>
      <c r="C21" s="271" t="s">
        <v>154</v>
      </c>
      <c r="D21" s="264" t="s">
        <v>216</v>
      </c>
      <c r="E21" s="208">
        <v>21</v>
      </c>
      <c r="F21" s="208">
        <v>167</v>
      </c>
      <c r="G21" s="208">
        <v>204</v>
      </c>
      <c r="H21" s="208"/>
      <c r="I21" s="31"/>
      <c r="J21" s="112"/>
      <c r="K21" s="238"/>
    </row>
    <row r="22" spans="1:11" ht="36.75" thickBot="1">
      <c r="A22" s="235"/>
      <c r="B22" s="1371"/>
      <c r="C22" s="271" t="s">
        <v>156</v>
      </c>
      <c r="D22" s="264" t="s">
        <v>217</v>
      </c>
      <c r="E22" s="189">
        <f>IFERROR(E21/E20,"N.A.")</f>
        <v>1</v>
      </c>
      <c r="F22" s="189">
        <f>IFERROR(F21/F20,"N.A.")</f>
        <v>0.50453172205438068</v>
      </c>
      <c r="G22" s="189">
        <f>IFERROR(G21/G20,"N.A.")</f>
        <v>0.3984375</v>
      </c>
      <c r="H22" s="189" t="str">
        <f>IFERROR(H21/H20,"N.A.")</f>
        <v>N.A.</v>
      </c>
      <c r="I22" s="461"/>
      <c r="J22" s="113"/>
      <c r="K22" s="238"/>
    </row>
    <row r="23" spans="1:11" ht="24" customHeight="1" thickBot="1">
      <c r="A23" s="235"/>
      <c r="B23" s="274" t="s">
        <v>34</v>
      </c>
      <c r="C23" s="275"/>
      <c r="D23" s="1378" t="s">
        <v>218</v>
      </c>
      <c r="E23" s="1379"/>
      <c r="F23" s="1379"/>
      <c r="G23" s="1379"/>
      <c r="H23" s="1379"/>
      <c r="I23" s="1379"/>
      <c r="J23" s="1380"/>
      <c r="K23" s="238"/>
    </row>
    <row r="24" spans="1:11" ht="24.75" thickBot="1">
      <c r="A24" s="235"/>
      <c r="B24" s="274" t="s">
        <v>36</v>
      </c>
      <c r="C24" s="275"/>
      <c r="D24" s="1378" t="s">
        <v>159</v>
      </c>
      <c r="E24" s="1379"/>
      <c r="F24" s="1379"/>
      <c r="G24" s="1379"/>
      <c r="H24" s="1379"/>
      <c r="I24" s="1379"/>
      <c r="J24" s="1380"/>
      <c r="K24" s="238"/>
    </row>
    <row r="25" spans="1:11" ht="15.75" thickBot="1">
      <c r="A25" s="235"/>
      <c r="B25" s="306"/>
      <c r="C25" s="292"/>
      <c r="D25" s="238"/>
      <c r="E25" s="238"/>
      <c r="F25" s="238"/>
      <c r="G25" s="238"/>
      <c r="H25" s="238"/>
      <c r="I25" s="238"/>
      <c r="J25" s="307"/>
      <c r="K25" s="238"/>
    </row>
    <row r="26" spans="1:11" ht="15" customHeight="1" thickBot="1">
      <c r="A26" s="235"/>
      <c r="B26" s="280" t="s">
        <v>38</v>
      </c>
      <c r="C26" s="308"/>
      <c r="D26" s="308"/>
      <c r="E26" s="308"/>
      <c r="F26" s="308"/>
      <c r="G26" s="308"/>
      <c r="H26" s="308"/>
      <c r="I26" s="308"/>
      <c r="J26" s="309"/>
      <c r="K26" s="238"/>
    </row>
    <row r="27" spans="1:11" ht="15.75" thickBot="1">
      <c r="A27" s="235"/>
      <c r="B27" s="1369">
        <v>1</v>
      </c>
      <c r="C27" s="257"/>
      <c r="D27" s="310" t="s">
        <v>39</v>
      </c>
      <c r="E27" s="1431"/>
      <c r="F27" s="1432"/>
      <c r="G27" s="235"/>
      <c r="H27" s="235"/>
      <c r="I27" s="304"/>
      <c r="J27" s="311"/>
      <c r="K27" s="238"/>
    </row>
    <row r="28" spans="1:11" ht="15.75" thickBot="1">
      <c r="A28" s="235"/>
      <c r="B28" s="1370"/>
      <c r="C28" s="265"/>
      <c r="D28" s="312" t="s">
        <v>40</v>
      </c>
      <c r="E28" s="1431" t="s">
        <v>1376</v>
      </c>
      <c r="F28" s="1432"/>
      <c r="G28" s="235"/>
      <c r="H28" s="235"/>
      <c r="I28" s="304"/>
      <c r="J28" s="263"/>
      <c r="K28" s="238"/>
    </row>
    <row r="29" spans="1:11" ht="15.75" thickBot="1">
      <c r="A29" s="235"/>
      <c r="B29" s="1370"/>
      <c r="C29" s="265"/>
      <c r="D29" s="312" t="s">
        <v>41</v>
      </c>
      <c r="E29" s="1431" t="s">
        <v>1377</v>
      </c>
      <c r="F29" s="1432"/>
      <c r="G29" s="235"/>
      <c r="H29" s="235"/>
      <c r="I29" s="304"/>
      <c r="J29" s="263"/>
      <c r="K29" s="238"/>
    </row>
    <row r="30" spans="1:11" ht="15.75" thickBot="1">
      <c r="A30" s="235"/>
      <c r="B30" s="1370"/>
      <c r="C30" s="265"/>
      <c r="D30" s="312" t="s">
        <v>42</v>
      </c>
      <c r="E30" s="1431" t="s">
        <v>1373</v>
      </c>
      <c r="F30" s="1432"/>
      <c r="G30" s="235"/>
      <c r="H30" s="235"/>
      <c r="I30" s="304"/>
      <c r="J30" s="263"/>
      <c r="K30" s="238"/>
    </row>
    <row r="31" spans="1:11" ht="15.75" thickBot="1">
      <c r="A31" s="235"/>
      <c r="B31" s="1370"/>
      <c r="C31" s="265"/>
      <c r="D31" s="312" t="s">
        <v>43</v>
      </c>
      <c r="E31" s="1433" t="s">
        <v>1378</v>
      </c>
      <c r="F31" s="1432"/>
      <c r="G31" s="235"/>
      <c r="H31" s="235"/>
      <c r="I31" s="304"/>
      <c r="J31" s="263"/>
      <c r="K31" s="238"/>
    </row>
    <row r="32" spans="1:11" ht="15.75" thickBot="1">
      <c r="A32" s="235"/>
      <c r="B32" s="1370"/>
      <c r="C32" s="265"/>
      <c r="D32" s="312" t="s">
        <v>44</v>
      </c>
      <c r="E32" s="1434">
        <v>5748960</v>
      </c>
      <c r="F32" s="1435"/>
      <c r="G32" s="235"/>
      <c r="H32" s="235"/>
      <c r="I32" s="304"/>
      <c r="J32" s="263"/>
      <c r="K32" s="238"/>
    </row>
    <row r="33" spans="1:11" ht="15.75" thickBot="1">
      <c r="A33" s="235"/>
      <c r="B33" s="1371"/>
      <c r="C33" s="275"/>
      <c r="D33" s="312" t="s">
        <v>45</v>
      </c>
      <c r="E33" s="1431" t="s">
        <v>1379</v>
      </c>
      <c r="F33" s="1432"/>
      <c r="G33" s="235"/>
      <c r="H33" s="235"/>
      <c r="I33" s="313"/>
      <c r="J33" s="314"/>
      <c r="K33" s="238"/>
    </row>
    <row r="34" spans="1:11" ht="15" customHeight="1" thickBot="1">
      <c r="A34" s="235"/>
      <c r="B34" s="280" t="s">
        <v>46</v>
      </c>
      <c r="C34" s="281"/>
      <c r="D34" s="281"/>
      <c r="E34" s="281"/>
      <c r="F34" s="281"/>
      <c r="G34" s="281"/>
      <c r="H34" s="281"/>
      <c r="I34" s="308"/>
      <c r="J34" s="309"/>
      <c r="K34" s="238"/>
    </row>
    <row r="35" spans="1:11" ht="14.45" customHeight="1" thickBot="1">
      <c r="A35" s="235"/>
      <c r="B35" s="1369">
        <v>1</v>
      </c>
      <c r="C35" s="257"/>
      <c r="D35" s="315" t="s">
        <v>39</v>
      </c>
      <c r="E35" s="573" t="s">
        <v>47</v>
      </c>
      <c r="F35" s="574"/>
      <c r="G35" s="235"/>
      <c r="H35" s="235"/>
      <c r="I35" s="304"/>
      <c r="J35" s="311"/>
      <c r="K35" s="238"/>
    </row>
    <row r="36" spans="1:11" ht="24.75" customHeight="1" thickBot="1">
      <c r="A36" s="235"/>
      <c r="B36" s="1370"/>
      <c r="C36" s="265"/>
      <c r="D36" s="316" t="s">
        <v>40</v>
      </c>
      <c r="E36" s="1438" t="s">
        <v>160</v>
      </c>
      <c r="F36" s="1439"/>
      <c r="G36" s="235"/>
      <c r="H36" s="235"/>
      <c r="I36" s="304"/>
      <c r="J36" s="263"/>
      <c r="K36" s="238"/>
    </row>
    <row r="37" spans="1:11" ht="15.75" thickBot="1">
      <c r="A37" s="235"/>
      <c r="B37" s="1370"/>
      <c r="C37" s="265"/>
      <c r="D37" s="316" t="s">
        <v>41</v>
      </c>
      <c r="E37" s="1436"/>
      <c r="F37" s="1437"/>
      <c r="G37" s="235"/>
      <c r="H37" s="235"/>
      <c r="I37" s="304"/>
      <c r="J37" s="263"/>
      <c r="K37" s="238"/>
    </row>
    <row r="38" spans="1:11" ht="15.75" thickBot="1">
      <c r="A38" s="235"/>
      <c r="B38" s="1370"/>
      <c r="C38" s="265"/>
      <c r="D38" s="316" t="s">
        <v>42</v>
      </c>
      <c r="E38" s="1436"/>
      <c r="F38" s="1437"/>
      <c r="G38" s="235"/>
      <c r="H38" s="235"/>
      <c r="I38" s="304"/>
      <c r="J38" s="263"/>
      <c r="K38" s="238"/>
    </row>
    <row r="39" spans="1:11" ht="15.75" thickBot="1">
      <c r="A39" s="235"/>
      <c r="B39" s="1370"/>
      <c r="C39" s="265"/>
      <c r="D39" s="316" t="s">
        <v>43</v>
      </c>
      <c r="E39" s="1436"/>
      <c r="F39" s="1437"/>
      <c r="G39" s="235"/>
      <c r="H39" s="235"/>
      <c r="I39" s="304"/>
      <c r="J39" s="263"/>
      <c r="K39" s="238"/>
    </row>
    <row r="40" spans="1:11" ht="15.75" thickBot="1">
      <c r="A40" s="235"/>
      <c r="B40" s="1370"/>
      <c r="C40" s="265"/>
      <c r="D40" s="316" t="s">
        <v>44</v>
      </c>
      <c r="E40" s="1436"/>
      <c r="F40" s="1437"/>
      <c r="G40" s="235"/>
      <c r="H40" s="235"/>
      <c r="I40" s="304"/>
      <c r="J40" s="263"/>
      <c r="K40" s="238"/>
    </row>
    <row r="41" spans="1:11" ht="15.75" thickBot="1">
      <c r="A41" s="235"/>
      <c r="B41" s="1371"/>
      <c r="C41" s="275"/>
      <c r="D41" s="316" t="s">
        <v>45</v>
      </c>
      <c r="E41" s="1436"/>
      <c r="F41" s="1437"/>
      <c r="G41" s="235"/>
      <c r="H41" s="235"/>
      <c r="I41" s="313"/>
      <c r="J41" s="314"/>
      <c r="K41" s="238"/>
    </row>
    <row r="42" spans="1:11" ht="15.75" thickBot="1">
      <c r="A42" s="235"/>
      <c r="B42" s="317"/>
      <c r="C42" s="318"/>
      <c r="D42" s="319"/>
      <c r="E42" s="319"/>
      <c r="F42" s="319"/>
      <c r="G42" s="308"/>
      <c r="H42" s="308"/>
      <c r="I42" s="308"/>
      <c r="J42" s="309"/>
      <c r="K42" s="238"/>
    </row>
    <row r="43" spans="1:11" ht="15.75" thickBot="1">
      <c r="A43" s="235"/>
      <c r="B43" s="1366" t="s">
        <v>49</v>
      </c>
      <c r="C43" s="1367"/>
      <c r="D43" s="1367"/>
      <c r="E43" s="1367"/>
      <c r="F43" s="1367"/>
      <c r="G43" s="1367"/>
      <c r="H43" s="1367"/>
      <c r="I43" s="1368"/>
      <c r="J43" s="309"/>
      <c r="K43" s="238"/>
    </row>
    <row r="44" spans="1:11" ht="24" customHeight="1" thickBot="1">
      <c r="A44" s="235"/>
      <c r="B44" s="1378" t="s">
        <v>50</v>
      </c>
      <c r="C44" s="1379"/>
      <c r="D44" s="1380"/>
      <c r="E44" s="264" t="s">
        <v>51</v>
      </c>
      <c r="F44" s="1378" t="s">
        <v>52</v>
      </c>
      <c r="G44" s="1380"/>
      <c r="H44" s="1378" t="s">
        <v>53</v>
      </c>
      <c r="I44" s="1380"/>
      <c r="J44" s="270"/>
      <c r="K44" s="238"/>
    </row>
    <row r="45" spans="1:11" ht="108" customHeight="1" thickBot="1">
      <c r="A45" s="235"/>
      <c r="B45" s="1442">
        <v>42401</v>
      </c>
      <c r="C45" s="1443"/>
      <c r="D45" s="1444"/>
      <c r="E45" s="264">
        <v>0.01</v>
      </c>
      <c r="F45" s="1445" t="s">
        <v>219</v>
      </c>
      <c r="G45" s="1446"/>
      <c r="H45" s="1378"/>
      <c r="I45" s="1380"/>
      <c r="J45" s="273"/>
      <c r="K45" s="238"/>
    </row>
    <row r="46" spans="1:11">
      <c r="A46" s="235"/>
      <c r="B46" s="321"/>
      <c r="C46" s="322"/>
      <c r="D46" s="321"/>
      <c r="E46" s="321"/>
      <c r="F46" s="321"/>
      <c r="G46" s="321"/>
      <c r="H46" s="321"/>
      <c r="I46" s="321"/>
      <c r="J46" s="238"/>
      <c r="K46" s="238"/>
    </row>
    <row r="47" spans="1:11" ht="15.75" thickBot="1">
      <c r="A47" s="235"/>
      <c r="B47" s="239"/>
      <c r="C47" s="240"/>
      <c r="D47" s="238"/>
      <c r="E47" s="238"/>
      <c r="F47" s="238"/>
      <c r="G47" s="238"/>
      <c r="H47" s="238"/>
      <c r="I47" s="238"/>
      <c r="J47" s="238"/>
      <c r="K47" s="238"/>
    </row>
    <row r="48" spans="1:11" ht="15.75" thickBot="1">
      <c r="A48" s="235"/>
      <c r="B48" s="323" t="s">
        <v>55</v>
      </c>
      <c r="C48" s="287"/>
      <c r="D48" s="238"/>
      <c r="E48" s="238"/>
      <c r="F48" s="238"/>
      <c r="G48" s="238"/>
      <c r="H48" s="238"/>
      <c r="I48" s="238"/>
      <c r="J48" s="238"/>
      <c r="K48" s="238"/>
    </row>
    <row r="49" spans="1:11">
      <c r="A49" s="235"/>
      <c r="B49" s="1440"/>
      <c r="C49" s="1441"/>
      <c r="D49" s="1441"/>
      <c r="E49" s="1441"/>
      <c r="F49" s="1441"/>
      <c r="G49" s="1441"/>
      <c r="H49" s="1441"/>
      <c r="I49" s="1441"/>
      <c r="J49" s="1441"/>
      <c r="K49" s="238"/>
    </row>
    <row r="50" spans="1:11">
      <c r="A50" s="235"/>
      <c r="B50" s="1440"/>
      <c r="C50" s="1441"/>
      <c r="D50" s="1441"/>
      <c r="E50" s="1441"/>
      <c r="F50" s="1441"/>
      <c r="G50" s="1441"/>
      <c r="H50" s="1441"/>
      <c r="I50" s="1441"/>
      <c r="J50" s="1441"/>
      <c r="K50" s="238"/>
    </row>
    <row r="51" spans="1:11">
      <c r="A51" s="235"/>
      <c r="B51" s="239"/>
      <c r="C51" s="240"/>
      <c r="D51" s="238"/>
      <c r="E51" s="238"/>
      <c r="F51" s="238"/>
      <c r="G51" s="238"/>
      <c r="H51" s="238"/>
      <c r="I51" s="238"/>
      <c r="J51" s="238"/>
      <c r="K51" s="238"/>
    </row>
    <row r="52" spans="1:11" ht="15.75" thickBot="1">
      <c r="A52" s="235"/>
      <c r="B52" s="238"/>
      <c r="C52" s="254"/>
      <c r="D52" s="238"/>
      <c r="E52" s="238"/>
      <c r="F52" s="238"/>
      <c r="G52" s="238"/>
      <c r="H52" s="238"/>
      <c r="I52" s="238"/>
      <c r="J52" s="238"/>
      <c r="K52" s="238"/>
    </row>
    <row r="53" spans="1:11" ht="24.75" thickBot="1">
      <c r="A53" s="235"/>
      <c r="B53" s="298" t="s">
        <v>56</v>
      </c>
      <c r="C53" s="299"/>
      <c r="D53" s="238"/>
      <c r="E53" s="238"/>
      <c r="F53" s="238"/>
      <c r="G53" s="238"/>
      <c r="H53" s="238"/>
      <c r="I53" s="238"/>
      <c r="J53" s="238"/>
      <c r="K53" s="238"/>
    </row>
    <row r="54" spans="1:11" ht="15.75" thickBot="1">
      <c r="A54" s="235"/>
      <c r="B54" s="239"/>
      <c r="C54" s="240"/>
      <c r="D54" s="238"/>
      <c r="E54" s="238"/>
      <c r="F54" s="238"/>
      <c r="G54" s="238"/>
      <c r="H54" s="238"/>
      <c r="I54" s="238"/>
      <c r="J54" s="238"/>
      <c r="K54" s="238"/>
    </row>
    <row r="55" spans="1:11" ht="72.75" thickBot="1">
      <c r="A55" s="235"/>
      <c r="B55" s="288" t="s">
        <v>57</v>
      </c>
      <c r="C55" s="268"/>
      <c r="D55" s="262" t="s">
        <v>201</v>
      </c>
      <c r="E55" s="238"/>
      <c r="F55" s="238"/>
      <c r="G55" s="238"/>
      <c r="H55" s="238"/>
      <c r="I55" s="238"/>
      <c r="J55" s="238"/>
      <c r="K55" s="238"/>
    </row>
    <row r="56" spans="1:11">
      <c r="A56" s="235"/>
      <c r="B56" s="1369" t="s">
        <v>59</v>
      </c>
      <c r="C56" s="261"/>
      <c r="D56" s="300" t="s">
        <v>60</v>
      </c>
      <c r="E56" s="238"/>
      <c r="F56" s="238"/>
      <c r="G56" s="238"/>
      <c r="H56" s="238"/>
      <c r="I56" s="238"/>
      <c r="J56" s="238"/>
      <c r="K56" s="238"/>
    </row>
    <row r="57" spans="1:11" ht="60">
      <c r="A57" s="235"/>
      <c r="B57" s="1370"/>
      <c r="C57" s="261"/>
      <c r="D57" s="301" t="s">
        <v>202</v>
      </c>
      <c r="E57" s="238"/>
      <c r="F57" s="238"/>
      <c r="G57" s="238"/>
      <c r="H57" s="238"/>
      <c r="I57" s="238"/>
      <c r="J57" s="238"/>
      <c r="K57" s="238"/>
    </row>
    <row r="58" spans="1:11">
      <c r="A58" s="235"/>
      <c r="B58" s="1370"/>
      <c r="C58" s="261"/>
      <c r="D58" s="300" t="s">
        <v>134</v>
      </c>
      <c r="E58" s="238"/>
      <c r="F58" s="238"/>
      <c r="G58" s="238"/>
      <c r="H58" s="238"/>
      <c r="I58" s="238"/>
      <c r="J58" s="238"/>
      <c r="K58" s="238"/>
    </row>
    <row r="59" spans="1:11">
      <c r="A59" s="235"/>
      <c r="B59" s="1370"/>
      <c r="C59" s="261"/>
      <c r="D59" s="301" t="s">
        <v>64</v>
      </c>
      <c r="E59" s="238"/>
      <c r="F59" s="238"/>
      <c r="G59" s="238"/>
      <c r="H59" s="238"/>
      <c r="I59" s="238"/>
      <c r="J59" s="238"/>
      <c r="K59" s="238"/>
    </row>
    <row r="60" spans="1:11">
      <c r="A60" s="235"/>
      <c r="B60" s="1370"/>
      <c r="C60" s="261"/>
      <c r="D60" s="301" t="s">
        <v>165</v>
      </c>
      <c r="E60" s="238"/>
      <c r="F60" s="238"/>
      <c r="G60" s="238"/>
      <c r="H60" s="238"/>
      <c r="I60" s="238"/>
      <c r="J60" s="238"/>
      <c r="K60" s="238"/>
    </row>
    <row r="61" spans="1:11">
      <c r="A61" s="235"/>
      <c r="B61" s="1370"/>
      <c r="C61" s="261"/>
      <c r="D61" s="301" t="s">
        <v>203</v>
      </c>
      <c r="E61" s="238"/>
      <c r="F61" s="238"/>
      <c r="G61" s="238"/>
      <c r="H61" s="238"/>
      <c r="I61" s="238"/>
      <c r="J61" s="238"/>
      <c r="K61" s="238"/>
    </row>
    <row r="62" spans="1:11">
      <c r="A62" s="235"/>
      <c r="B62" s="1370"/>
      <c r="C62" s="261"/>
      <c r="D62" s="301" t="s">
        <v>204</v>
      </c>
      <c r="E62" s="238"/>
      <c r="F62" s="238"/>
      <c r="G62" s="238"/>
      <c r="H62" s="238"/>
      <c r="I62" s="238"/>
      <c r="J62" s="238"/>
      <c r="K62" s="238"/>
    </row>
    <row r="63" spans="1:11" ht="24">
      <c r="A63" s="235"/>
      <c r="B63" s="1370"/>
      <c r="C63" s="261"/>
      <c r="D63" s="301" t="s">
        <v>205</v>
      </c>
      <c r="E63" s="238"/>
      <c r="F63" s="238"/>
      <c r="G63" s="238"/>
      <c r="H63" s="238"/>
      <c r="I63" s="238"/>
      <c r="J63" s="238"/>
      <c r="K63" s="238"/>
    </row>
    <row r="64" spans="1:11">
      <c r="A64" s="235"/>
      <c r="B64" s="1370"/>
      <c r="C64" s="261"/>
      <c r="D64" s="300" t="s">
        <v>141</v>
      </c>
      <c r="E64" s="238"/>
      <c r="F64" s="238"/>
      <c r="G64" s="238"/>
      <c r="H64" s="238"/>
      <c r="I64" s="238"/>
      <c r="J64" s="238"/>
      <c r="K64" s="238"/>
    </row>
    <row r="65" spans="1:11" ht="15.75" thickBot="1">
      <c r="A65" s="235"/>
      <c r="B65" s="1371"/>
      <c r="C65" s="271"/>
      <c r="D65" s="295"/>
      <c r="E65" s="238"/>
      <c r="F65" s="238"/>
      <c r="G65" s="238"/>
      <c r="H65" s="238"/>
      <c r="I65" s="238"/>
      <c r="J65" s="238"/>
      <c r="K65" s="238"/>
    </row>
    <row r="66" spans="1:11" ht="24.75" thickBot="1">
      <c r="A66" s="235"/>
      <c r="B66" s="274" t="s">
        <v>72</v>
      </c>
      <c r="C66" s="271"/>
      <c r="D66" s="264"/>
      <c r="E66" s="238"/>
      <c r="F66" s="238"/>
      <c r="G66" s="238"/>
      <c r="H66" s="238"/>
      <c r="I66" s="238"/>
      <c r="J66" s="238"/>
      <c r="K66" s="238"/>
    </row>
    <row r="67" spans="1:11" ht="156">
      <c r="A67" s="235"/>
      <c r="B67" s="1369" t="s">
        <v>73</v>
      </c>
      <c r="C67" s="261"/>
      <c r="D67" s="301" t="s">
        <v>206</v>
      </c>
      <c r="E67" s="238"/>
      <c r="F67" s="238"/>
      <c r="G67" s="238"/>
      <c r="H67" s="238"/>
      <c r="I67" s="238"/>
      <c r="J67" s="238"/>
      <c r="K67" s="238"/>
    </row>
    <row r="68" spans="1:11" ht="132">
      <c r="A68" s="235"/>
      <c r="B68" s="1370"/>
      <c r="C68" s="261"/>
      <c r="D68" s="301" t="s">
        <v>207</v>
      </c>
      <c r="E68" s="238"/>
      <c r="F68" s="238"/>
      <c r="G68" s="238"/>
      <c r="H68" s="238"/>
      <c r="I68" s="238"/>
      <c r="J68" s="238"/>
      <c r="K68" s="238"/>
    </row>
    <row r="69" spans="1:11" ht="237.75" customHeight="1">
      <c r="A69" s="235"/>
      <c r="B69" s="1370"/>
      <c r="C69" s="261"/>
      <c r="D69" s="301" t="s">
        <v>208</v>
      </c>
      <c r="E69" s="238"/>
      <c r="F69" s="238"/>
      <c r="G69" s="238"/>
      <c r="H69" s="238"/>
      <c r="I69" s="238"/>
      <c r="J69" s="238"/>
      <c r="K69" s="238"/>
    </row>
    <row r="70" spans="1:11" ht="72">
      <c r="A70" s="235"/>
      <c r="B70" s="1370"/>
      <c r="C70" s="261"/>
      <c r="D70" s="301" t="s">
        <v>209</v>
      </c>
      <c r="E70" s="238"/>
      <c r="F70" s="238"/>
      <c r="G70" s="238"/>
      <c r="H70" s="238"/>
      <c r="I70" s="238"/>
      <c r="J70" s="238"/>
      <c r="K70" s="238"/>
    </row>
    <row r="71" spans="1:11" ht="15.75" thickBot="1">
      <c r="A71" s="235"/>
      <c r="B71" s="1371"/>
      <c r="C71" s="271"/>
      <c r="D71" s="264"/>
      <c r="E71" s="238"/>
      <c r="F71" s="238"/>
      <c r="G71" s="238"/>
      <c r="H71" s="238"/>
      <c r="I71" s="238"/>
      <c r="J71" s="238"/>
      <c r="K71" s="238"/>
    </row>
    <row r="72" spans="1:11">
      <c r="A72" s="235"/>
      <c r="B72" s="1369" t="s">
        <v>90</v>
      </c>
      <c r="C72" s="261"/>
      <c r="D72" s="301"/>
      <c r="E72" s="238"/>
      <c r="F72" s="238"/>
      <c r="G72" s="238"/>
      <c r="H72" s="238"/>
      <c r="I72" s="238"/>
      <c r="J72" s="238"/>
      <c r="K72" s="238"/>
    </row>
    <row r="73" spans="1:11">
      <c r="A73" s="235"/>
      <c r="B73" s="1370"/>
      <c r="C73" s="261"/>
      <c r="D73" s="302"/>
      <c r="E73" s="238"/>
      <c r="F73" s="238"/>
      <c r="G73" s="238"/>
      <c r="H73" s="238"/>
      <c r="I73" s="238"/>
      <c r="J73" s="238"/>
      <c r="K73" s="238"/>
    </row>
    <row r="74" spans="1:11">
      <c r="A74" s="235"/>
      <c r="B74" s="1370"/>
      <c r="C74" s="261"/>
      <c r="D74" s="301" t="s">
        <v>91</v>
      </c>
      <c r="E74" s="238"/>
      <c r="F74" s="238"/>
      <c r="G74" s="238"/>
      <c r="H74" s="238"/>
      <c r="I74" s="238"/>
      <c r="J74" s="238"/>
      <c r="K74" s="238"/>
    </row>
    <row r="75" spans="1:11" ht="37.5">
      <c r="A75" s="235"/>
      <c r="B75" s="1370"/>
      <c r="C75" s="261"/>
      <c r="D75" s="301" t="s">
        <v>210</v>
      </c>
      <c r="E75" s="238"/>
      <c r="F75" s="238"/>
      <c r="G75" s="238"/>
      <c r="H75" s="238"/>
      <c r="I75" s="238"/>
      <c r="J75" s="238"/>
      <c r="K75" s="238"/>
    </row>
    <row r="76" spans="1:11" ht="37.5">
      <c r="A76" s="235"/>
      <c r="B76" s="1370"/>
      <c r="C76" s="261"/>
      <c r="D76" s="301" t="s">
        <v>211</v>
      </c>
      <c r="E76" s="238"/>
      <c r="F76" s="238"/>
      <c r="G76" s="238"/>
      <c r="H76" s="238"/>
      <c r="I76" s="238"/>
      <c r="J76" s="238"/>
      <c r="K76" s="238"/>
    </row>
    <row r="77" spans="1:11" ht="37.5">
      <c r="A77" s="235"/>
      <c r="B77" s="1370"/>
      <c r="C77" s="261"/>
      <c r="D77" s="301" t="s">
        <v>212</v>
      </c>
      <c r="E77" s="238"/>
      <c r="F77" s="238"/>
      <c r="G77" s="238"/>
      <c r="H77" s="238"/>
      <c r="I77" s="238"/>
      <c r="J77" s="238"/>
      <c r="K77" s="238"/>
    </row>
    <row r="78" spans="1:11" ht="48.75" thickBot="1">
      <c r="A78" s="235"/>
      <c r="B78" s="1371"/>
      <c r="C78" s="271"/>
      <c r="D78" s="264" t="s">
        <v>213</v>
      </c>
      <c r="E78" s="238"/>
      <c r="F78" s="238"/>
      <c r="G78" s="238"/>
      <c r="H78" s="238"/>
      <c r="I78" s="238"/>
      <c r="J78" s="238"/>
      <c r="K78" s="238"/>
    </row>
  </sheetData>
  <sheetProtection insertColumns="0" insertRows="0"/>
  <mergeCells count="42">
    <mergeCell ref="A1:P1"/>
    <mergeCell ref="A2:P2"/>
    <mergeCell ref="A3:P3"/>
    <mergeCell ref="A4:D4"/>
    <mergeCell ref="A5:P5"/>
    <mergeCell ref="B49:J50"/>
    <mergeCell ref="B45:D45"/>
    <mergeCell ref="F45:G45"/>
    <mergeCell ref="H45:I45"/>
    <mergeCell ref="E41:F41"/>
    <mergeCell ref="B43:I43"/>
    <mergeCell ref="B44:D44"/>
    <mergeCell ref="F44:G44"/>
    <mergeCell ref="H44:I44"/>
    <mergeCell ref="E40:F40"/>
    <mergeCell ref="E33:F33"/>
    <mergeCell ref="B35:B41"/>
    <mergeCell ref="E37:F37"/>
    <mergeCell ref="B27:B33"/>
    <mergeCell ref="E36:F36"/>
    <mergeCell ref="B56:B65"/>
    <mergeCell ref="B67:B71"/>
    <mergeCell ref="B72:B78"/>
    <mergeCell ref="B15:B22"/>
    <mergeCell ref="D15:J15"/>
    <mergeCell ref="D18:J18"/>
    <mergeCell ref="E30:F30"/>
    <mergeCell ref="E31:F31"/>
    <mergeCell ref="E32:F32"/>
    <mergeCell ref="D23:J23"/>
    <mergeCell ref="D24:J24"/>
    <mergeCell ref="E27:F27"/>
    <mergeCell ref="E28:F28"/>
    <mergeCell ref="E29:F29"/>
    <mergeCell ref="E38:F38"/>
    <mergeCell ref="E39:F39"/>
    <mergeCell ref="S10:T11"/>
    <mergeCell ref="B10:D10"/>
    <mergeCell ref="E12:R12"/>
    <mergeCell ref="E13:R13"/>
    <mergeCell ref="F10:R10"/>
    <mergeCell ref="F11:R11"/>
  </mergeCells>
  <conditionalFormatting sqref="E12:R12">
    <cfRule type="expression" dxfId="126" priority="2">
      <formula>E11="SI SE REPORTA"</formula>
    </cfRule>
  </conditionalFormatting>
  <dataValidations count="3">
    <dataValidation type="whole" operator="greaterThanOrEqual" allowBlank="1" showErrorMessage="1" errorTitle="ERROR" error="Escriba un número igual o mayor que 0" promptTitle="ERROR" prompt="Escriba un número igual o mayor que 0" sqref="E16:E17 E20:H21">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31" r:id="rId1"/>
  </hyperlinks>
  <pageMargins left="0.25" right="0.25" top="0.75" bottom="0.75" header="0.3" footer="0.3"/>
  <pageSetup paperSize="178" orientation="landscape" horizontalDpi="1200" verticalDpi="1200" r:id="rId2"/>
  <drawing r:id="rId3"/>
  <legacy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127"/>
  <sheetViews>
    <sheetView showGridLines="0" zoomScale="98" zoomScaleNormal="98" workbookViewId="0">
      <selection activeCell="D9" sqref="D9"/>
    </sheetView>
  </sheetViews>
  <sheetFormatPr baseColWidth="10" defaultRowHeight="15"/>
  <cols>
    <col min="1" max="1" width="1.85546875" customWidth="1"/>
    <col min="2" max="2" width="12.85546875" customWidth="1"/>
    <col min="3" max="3" width="5" style="86" bestFit="1" customWidth="1"/>
    <col min="4" max="4" width="34.85546875" customWidth="1"/>
    <col min="5" max="5" width="12.140625" customWidth="1"/>
    <col min="8" max="8" width="12.28515625" customWidth="1"/>
    <col min="10" max="10" width="12.5703125" customWidth="1"/>
  </cols>
  <sheetData>
    <row r="1" spans="1:21" s="490" customFormat="1" ht="100.5" customHeight="1" thickBot="1">
      <c r="A1" s="1334"/>
      <c r="B1" s="1335"/>
      <c r="C1" s="1335"/>
      <c r="D1" s="1335"/>
      <c r="E1" s="1335"/>
      <c r="F1" s="1335"/>
      <c r="G1" s="1335"/>
      <c r="H1" s="1335"/>
      <c r="I1" s="1335"/>
      <c r="J1" s="1335"/>
      <c r="K1" s="1335"/>
      <c r="L1" s="1335"/>
      <c r="M1" s="1335"/>
      <c r="N1" s="1335"/>
      <c r="O1" s="1335"/>
      <c r="P1" s="1336"/>
      <c r="Q1" s="389"/>
      <c r="R1" s="389"/>
    </row>
    <row r="2" spans="1:21" s="491" customFormat="1" ht="16.5" thickBot="1">
      <c r="A2" s="1342" t="str">
        <f>'Datos Generales'!C5</f>
        <v>Corporación Autónoma Regional del Cesar – CORPOCESAR</v>
      </c>
      <c r="B2" s="1343"/>
      <c r="C2" s="1343"/>
      <c r="D2" s="1343"/>
      <c r="E2" s="1343"/>
      <c r="F2" s="1343"/>
      <c r="G2" s="1343"/>
      <c r="H2" s="1343"/>
      <c r="I2" s="1343"/>
      <c r="J2" s="1343"/>
      <c r="K2" s="1343"/>
      <c r="L2" s="1343"/>
      <c r="M2" s="1343"/>
      <c r="N2" s="1343"/>
      <c r="O2" s="1343"/>
      <c r="P2" s="1344"/>
      <c r="Q2" s="389"/>
      <c r="R2" s="389"/>
    </row>
    <row r="3" spans="1:21" s="491" customFormat="1" ht="16.5" thickBot="1">
      <c r="A3" s="1337" t="s">
        <v>1294</v>
      </c>
      <c r="B3" s="1338"/>
      <c r="C3" s="1338"/>
      <c r="D3" s="1338"/>
      <c r="E3" s="1338"/>
      <c r="F3" s="1338"/>
      <c r="G3" s="1338"/>
      <c r="H3" s="1338"/>
      <c r="I3" s="1338"/>
      <c r="J3" s="1338"/>
      <c r="K3" s="1338"/>
      <c r="L3" s="1338"/>
      <c r="M3" s="1338"/>
      <c r="N3" s="1338"/>
      <c r="O3" s="1338"/>
      <c r="P3" s="1339"/>
      <c r="Q3" s="389"/>
      <c r="R3" s="389"/>
    </row>
    <row r="4" spans="1:21" s="491" customFormat="1" ht="16.5" thickBot="1">
      <c r="A4" s="1340" t="s">
        <v>1293</v>
      </c>
      <c r="B4" s="1341"/>
      <c r="C4" s="1341"/>
      <c r="D4" s="1341"/>
      <c r="E4" s="498">
        <v>2022</v>
      </c>
      <c r="F4" s="498"/>
      <c r="G4" s="498"/>
      <c r="H4" s="498"/>
      <c r="I4" s="498"/>
      <c r="J4" s="498"/>
      <c r="K4" s="498"/>
      <c r="L4" s="499"/>
      <c r="M4" s="499"/>
      <c r="N4" s="499"/>
      <c r="O4" s="499"/>
      <c r="P4" s="500"/>
      <c r="Q4" s="389"/>
      <c r="R4" s="389"/>
    </row>
    <row r="5" spans="1:21" s="235" customFormat="1" ht="16.5" customHeight="1" thickBot="1">
      <c r="A5" s="1337" t="s">
        <v>220</v>
      </c>
      <c r="B5" s="1338"/>
      <c r="C5" s="1338"/>
      <c r="D5" s="1338"/>
      <c r="E5" s="1338"/>
      <c r="F5" s="1338"/>
      <c r="G5" s="1338"/>
      <c r="H5" s="1338"/>
      <c r="I5" s="1338"/>
      <c r="J5" s="1338"/>
      <c r="K5" s="1338"/>
      <c r="L5" s="1338"/>
      <c r="M5" s="1338"/>
      <c r="N5" s="1338"/>
      <c r="O5" s="1338"/>
      <c r="P5" s="1339"/>
    </row>
    <row r="6" spans="1:21">
      <c r="B6" s="2" t="s">
        <v>1</v>
      </c>
      <c r="C6" s="75"/>
      <c r="D6" s="6"/>
      <c r="E6" s="73"/>
      <c r="F6" s="6" t="s">
        <v>128</v>
      </c>
      <c r="G6" s="6"/>
      <c r="H6" s="6"/>
      <c r="I6" s="6"/>
      <c r="J6" s="6"/>
      <c r="K6" s="6"/>
    </row>
    <row r="7" spans="1:21" ht="15.75" thickBot="1">
      <c r="B7" s="74"/>
      <c r="C7" s="76"/>
      <c r="D7" s="6"/>
      <c r="E7" s="18"/>
      <c r="F7" s="6" t="s">
        <v>129</v>
      </c>
      <c r="G7" s="6"/>
      <c r="H7" s="6"/>
      <c r="I7" s="6"/>
      <c r="J7" s="6"/>
      <c r="K7" s="6"/>
    </row>
    <row r="8" spans="1:21" ht="15.75" thickBot="1">
      <c r="B8" s="171" t="s">
        <v>1181</v>
      </c>
      <c r="C8" s="213">
        <v>2022</v>
      </c>
      <c r="D8" s="218">
        <f>IF(E10="NO APLICA","NO APLICA",IF(E11="NO SE REPORTA","SIN INFORMACION",))+G27</f>
        <v>1</v>
      </c>
      <c r="E8" s="214"/>
      <c r="F8" s="6" t="s">
        <v>130</v>
      </c>
      <c r="G8" s="6"/>
      <c r="H8" s="6"/>
      <c r="I8" s="6"/>
      <c r="J8" s="6"/>
      <c r="K8" s="6"/>
    </row>
    <row r="9" spans="1:21">
      <c r="B9" s="462" t="s">
        <v>1182</v>
      </c>
      <c r="C9" s="87"/>
      <c r="D9" s="6"/>
      <c r="E9" s="6"/>
      <c r="F9" s="6"/>
      <c r="G9" s="6"/>
      <c r="H9" s="6"/>
      <c r="I9" s="6"/>
      <c r="J9" s="6"/>
      <c r="K9" s="6"/>
    </row>
    <row r="10" spans="1:21" s="389" customFormat="1" ht="15" customHeight="1">
      <c r="A10" s="235"/>
      <c r="B10" s="1392" t="s">
        <v>1236</v>
      </c>
      <c r="C10" s="1392"/>
      <c r="D10" s="1392"/>
      <c r="E10" s="468" t="s">
        <v>1233</v>
      </c>
      <c r="F10" s="1412" t="str">
        <f>'5PUEAA'!F10</f>
        <v>Acuerdo 005 del 22 de mayo de 2020 (Por medio del cual se aprueba el Plan de Accion Institucional 2020 -2023)</v>
      </c>
      <c r="G10" s="1412"/>
      <c r="H10" s="1412"/>
      <c r="I10" s="1412"/>
      <c r="J10" s="1412"/>
      <c r="K10" s="1412"/>
      <c r="L10" s="1412"/>
      <c r="M10" s="1412"/>
      <c r="N10" s="1412"/>
      <c r="O10" s="1412"/>
      <c r="P10" s="1412"/>
      <c r="Q10" s="1412"/>
      <c r="R10" s="1412"/>
      <c r="S10" s="1148"/>
      <c r="T10" s="464"/>
      <c r="U10" s="464"/>
    </row>
    <row r="11" spans="1:21" s="389" customFormat="1" ht="14.45" customHeight="1">
      <c r="A11" s="235"/>
      <c r="B11" s="465"/>
      <c r="C11" s="466"/>
      <c r="D11" s="467" t="str">
        <f>IF(E10="SI APLICA","¿El indicador no se reporta por limitaciones de información disponible? ","")</f>
        <v xml:space="preserve">¿El indicador no se reporta por limitaciones de información disponible? </v>
      </c>
      <c r="E11" s="469" t="s">
        <v>1235</v>
      </c>
      <c r="F11" s="1412"/>
      <c r="G11" s="1412"/>
      <c r="H11" s="1412"/>
      <c r="I11" s="1412"/>
      <c r="J11" s="1412"/>
      <c r="K11" s="1412"/>
      <c r="L11" s="1412"/>
      <c r="M11" s="1412"/>
      <c r="N11" s="1412"/>
      <c r="O11" s="1412"/>
      <c r="P11" s="1412"/>
      <c r="Q11" s="1412"/>
      <c r="R11" s="1412"/>
      <c r="S11" s="1148"/>
    </row>
    <row r="12" spans="1:21" s="389" customFormat="1">
      <c r="A12" s="235"/>
      <c r="B12" s="462"/>
      <c r="C12" s="292"/>
      <c r="D12" s="467" t="str">
        <f>IF(E11="SI SE REPORTA","¿Qué programas o proyectos del Plan de Acción están asociados al indicador? ","")</f>
        <v xml:space="preserve">¿Qué programas o proyectos del Plan de Acción están asociados al indicador? </v>
      </c>
      <c r="E12" s="1430" t="s">
        <v>2109</v>
      </c>
      <c r="F12" s="1430"/>
      <c r="G12" s="1430"/>
      <c r="H12" s="1430"/>
      <c r="I12" s="1430"/>
      <c r="J12" s="1430"/>
      <c r="K12" s="1430"/>
      <c r="L12" s="1430"/>
      <c r="M12" s="1430"/>
      <c r="N12" s="1430"/>
      <c r="O12" s="1430"/>
      <c r="P12" s="1430"/>
      <c r="Q12" s="1430"/>
      <c r="R12" s="1430"/>
    </row>
    <row r="13" spans="1:21" s="389" customFormat="1" ht="21.95" customHeight="1">
      <c r="A13" s="235"/>
      <c r="B13" s="462"/>
      <c r="C13" s="292"/>
      <c r="D13" s="467" t="s">
        <v>1238</v>
      </c>
      <c r="E13" s="1395"/>
      <c r="F13" s="1396"/>
      <c r="G13" s="1396"/>
      <c r="H13" s="1396"/>
      <c r="I13" s="1396"/>
      <c r="J13" s="1396"/>
      <c r="K13" s="1396"/>
      <c r="L13" s="1396"/>
      <c r="M13" s="1396"/>
      <c r="N13" s="1396"/>
      <c r="O13" s="1396"/>
      <c r="P13" s="1396"/>
      <c r="Q13" s="1396"/>
      <c r="R13" s="1397"/>
    </row>
    <row r="14" spans="1:21" s="389" customFormat="1" ht="6.95" customHeight="1" thickBot="1">
      <c r="B14" s="462"/>
      <c r="C14" s="87"/>
      <c r="D14" s="6"/>
      <c r="E14" s="6"/>
      <c r="F14" s="6"/>
      <c r="G14" s="6"/>
      <c r="H14" s="6"/>
      <c r="I14" s="6"/>
      <c r="J14" s="6"/>
      <c r="K14" s="6"/>
    </row>
    <row r="15" spans="1:21" ht="15" customHeight="1" thickTop="1">
      <c r="B15" s="1456" t="s">
        <v>2</v>
      </c>
      <c r="C15" s="88"/>
      <c r="D15" s="1458" t="s">
        <v>3</v>
      </c>
      <c r="E15" s="1459"/>
      <c r="F15" s="1459"/>
      <c r="G15" s="1459"/>
      <c r="H15" s="1459"/>
      <c r="I15" s="1459"/>
      <c r="J15" s="1459"/>
      <c r="K15" s="1460"/>
    </row>
    <row r="16" spans="1:21" ht="15.75" thickBot="1">
      <c r="B16" s="1457"/>
      <c r="C16" s="91"/>
      <c r="D16" s="1461" t="s">
        <v>252</v>
      </c>
      <c r="E16" s="1462"/>
      <c r="F16" s="1462"/>
      <c r="G16" s="1462"/>
      <c r="H16" s="1462"/>
      <c r="I16" s="1462"/>
      <c r="J16" s="1462"/>
      <c r="K16" s="1463"/>
    </row>
    <row r="17" spans="2:11" ht="15.75" thickBot="1">
      <c r="B17" s="1457"/>
      <c r="C17" s="97" t="s">
        <v>19</v>
      </c>
      <c r="D17" s="38" t="s">
        <v>253</v>
      </c>
      <c r="E17" s="38" t="s">
        <v>20</v>
      </c>
      <c r="F17" s="38" t="s">
        <v>21</v>
      </c>
      <c r="G17" s="38" t="s">
        <v>22</v>
      </c>
      <c r="H17" s="38" t="s">
        <v>23</v>
      </c>
      <c r="I17" s="225"/>
      <c r="K17" s="22"/>
    </row>
    <row r="18" spans="2:11" ht="15.75" thickBot="1">
      <c r="B18" s="1457"/>
      <c r="C18" s="3" t="s">
        <v>152</v>
      </c>
      <c r="D18" s="568" t="s">
        <v>255</v>
      </c>
      <c r="E18" s="208">
        <v>8</v>
      </c>
      <c r="F18" s="208">
        <v>9</v>
      </c>
      <c r="G18" s="208">
        <v>9</v>
      </c>
      <c r="H18" s="208"/>
      <c r="I18" s="328"/>
      <c r="K18" s="22"/>
    </row>
    <row r="19" spans="2:11" ht="15.75" thickBot="1">
      <c r="B19" s="1457"/>
      <c r="C19" s="3" t="s">
        <v>154</v>
      </c>
      <c r="D19" s="568" t="s">
        <v>256</v>
      </c>
      <c r="E19" s="208">
        <v>4</v>
      </c>
      <c r="F19" s="208">
        <v>9</v>
      </c>
      <c r="G19" s="208">
        <v>9</v>
      </c>
      <c r="H19" s="208"/>
      <c r="I19" s="328"/>
      <c r="K19" s="22"/>
    </row>
    <row r="20" spans="2:11" ht="15.75" thickBot="1">
      <c r="B20" s="1457"/>
      <c r="C20" s="3" t="s">
        <v>156</v>
      </c>
      <c r="D20" s="568" t="s">
        <v>257</v>
      </c>
      <c r="E20" s="208">
        <v>1</v>
      </c>
      <c r="F20" s="208">
        <v>1</v>
      </c>
      <c r="G20" s="208">
        <v>1</v>
      </c>
      <c r="H20" s="208"/>
      <c r="I20" s="328"/>
      <c r="K20" s="22"/>
    </row>
    <row r="21" spans="2:11" ht="15.75" thickBot="1">
      <c r="B21" s="1457"/>
      <c r="C21" s="3" t="s">
        <v>258</v>
      </c>
      <c r="D21" s="568" t="s">
        <v>259</v>
      </c>
      <c r="E21" s="208">
        <v>0</v>
      </c>
      <c r="F21" s="208">
        <v>1</v>
      </c>
      <c r="G21" s="208">
        <v>1</v>
      </c>
      <c r="H21" s="208"/>
      <c r="I21" s="328"/>
      <c r="K21" s="22"/>
    </row>
    <row r="22" spans="2:11" ht="15.75" thickBot="1">
      <c r="B22" s="1457"/>
      <c r="C22" s="3" t="s">
        <v>260</v>
      </c>
      <c r="D22" s="568" t="s">
        <v>261</v>
      </c>
      <c r="E22" s="208">
        <v>1</v>
      </c>
      <c r="F22" s="208">
        <v>1</v>
      </c>
      <c r="G22" s="208">
        <v>1</v>
      </c>
      <c r="H22" s="208"/>
      <c r="I22" s="328"/>
      <c r="K22" s="22"/>
    </row>
    <row r="23" spans="2:11" ht="15.75" thickBot="1">
      <c r="B23" s="1457"/>
      <c r="C23" s="3" t="s">
        <v>262</v>
      </c>
      <c r="D23" s="568" t="s">
        <v>263</v>
      </c>
      <c r="E23" s="208">
        <v>1</v>
      </c>
      <c r="F23" s="208">
        <v>1</v>
      </c>
      <c r="G23" s="208">
        <v>1</v>
      </c>
      <c r="H23" s="208"/>
      <c r="I23" s="328"/>
      <c r="K23" s="22"/>
    </row>
    <row r="24" spans="2:11" ht="24.75" thickBot="1">
      <c r="B24" s="1457"/>
      <c r="C24" s="3" t="s">
        <v>264</v>
      </c>
      <c r="D24" s="568" t="s">
        <v>265</v>
      </c>
      <c r="E24" s="189">
        <f>IFERROR(E19/E18,"N.A.")</f>
        <v>0.5</v>
      </c>
      <c r="F24" s="189">
        <f>IFERROR(F19/F18,"N.A.")</f>
        <v>1</v>
      </c>
      <c r="G24" s="189">
        <f>IFERROR(G19/G18,"N.A.")</f>
        <v>1</v>
      </c>
      <c r="H24" s="189" t="str">
        <f>IFERROR(H19/H18,"N.A.")</f>
        <v>N.A.</v>
      </c>
      <c r="I24" s="293"/>
      <c r="K24" s="22"/>
    </row>
    <row r="25" spans="2:11" ht="15.75" thickBot="1">
      <c r="B25" s="1457"/>
      <c r="C25" s="3" t="s">
        <v>266</v>
      </c>
      <c r="D25" s="568" t="s">
        <v>267</v>
      </c>
      <c r="E25" s="189">
        <f>IFERROR(E21/E20,"N.A.")</f>
        <v>0</v>
      </c>
      <c r="F25" s="189">
        <f>IFERROR(F21/F20,"N.A.")</f>
        <v>1</v>
      </c>
      <c r="G25" s="189">
        <f>IFERROR(G21/G20,"N.A.")</f>
        <v>1</v>
      </c>
      <c r="H25" s="189" t="str">
        <f>IFERROR(H21/H20,"N.A.")</f>
        <v>N.A.</v>
      </c>
      <c r="I25" s="293"/>
      <c r="K25" s="22"/>
    </row>
    <row r="26" spans="2:11" ht="15.75" thickBot="1">
      <c r="B26" s="1457"/>
      <c r="C26" s="3" t="s">
        <v>268</v>
      </c>
      <c r="D26" s="568" t="s">
        <v>269</v>
      </c>
      <c r="E26" s="189">
        <f>IFERROR(E23/E22,"N.A.")</f>
        <v>1</v>
      </c>
      <c r="F26" s="189">
        <f>IFERROR(F23/F22,"N.A.")</f>
        <v>1</v>
      </c>
      <c r="G26" s="189">
        <f>IFERROR(G23/G22,"N.A.")</f>
        <v>1</v>
      </c>
      <c r="H26" s="189" t="str">
        <f>IFERROR(H23/H22,"N.A.")</f>
        <v>N.A.</v>
      </c>
      <c r="I26" s="293"/>
      <c r="K26" s="22"/>
    </row>
    <row r="27" spans="2:11" ht="15.75" thickBot="1">
      <c r="B27" s="326"/>
      <c r="C27" s="129"/>
      <c r="D27" s="52" t="s">
        <v>1191</v>
      </c>
      <c r="E27" s="189">
        <f>IFERROR(AVERAGE(E24:E26),"N.A.")</f>
        <v>0.5</v>
      </c>
      <c r="F27" s="189">
        <f>IFERROR(AVERAGE(F24:F26),"N.A.")</f>
        <v>1</v>
      </c>
      <c r="G27" s="189">
        <f>IFERROR(AVERAGE(G24:G26),"N.A.")</f>
        <v>1</v>
      </c>
      <c r="H27" s="189" t="str">
        <f>IFERROR(AVERAGE(H24:H26),"N.A.")</f>
        <v>N.A.</v>
      </c>
      <c r="I27" s="293"/>
      <c r="K27" s="22"/>
    </row>
    <row r="28" spans="2:11">
      <c r="B28" s="222"/>
      <c r="C28" s="91"/>
      <c r="D28" s="1464"/>
      <c r="E28" s="1465"/>
      <c r="F28" s="1465"/>
      <c r="G28" s="1465"/>
      <c r="H28" s="1465"/>
      <c r="I28" s="1465"/>
      <c r="J28" s="1465"/>
      <c r="K28" s="1466"/>
    </row>
    <row r="29" spans="2:11" ht="15.75" thickBot="1">
      <c r="B29" s="222"/>
      <c r="C29" s="91"/>
      <c r="D29" s="1461" t="s">
        <v>246</v>
      </c>
      <c r="E29" s="1462"/>
      <c r="F29" s="1462"/>
      <c r="G29" s="1462"/>
      <c r="H29" s="1462"/>
      <c r="I29" s="1462"/>
      <c r="J29" s="1462"/>
      <c r="K29" s="1463"/>
    </row>
    <row r="30" spans="2:11" ht="15.75" hidden="1" thickBot="1">
      <c r="B30" s="222"/>
      <c r="C30" s="91"/>
      <c r="D30" s="1467" t="s">
        <v>247</v>
      </c>
      <c r="E30" s="1468"/>
      <c r="F30" s="1468"/>
      <c r="G30" s="1468"/>
      <c r="H30" s="1468"/>
      <c r="I30" s="1468"/>
      <c r="J30" s="1468"/>
      <c r="K30" s="1469"/>
    </row>
    <row r="31" spans="2:11" ht="15.75" hidden="1" thickBot="1">
      <c r="B31" s="222"/>
      <c r="C31" s="97" t="s">
        <v>19</v>
      </c>
      <c r="D31" s="43" t="s">
        <v>270</v>
      </c>
      <c r="E31" s="43" t="s">
        <v>271</v>
      </c>
      <c r="F31" s="43" t="s">
        <v>272</v>
      </c>
      <c r="G31" s="43" t="s">
        <v>273</v>
      </c>
      <c r="H31" s="43" t="s">
        <v>274</v>
      </c>
      <c r="I31" s="43" t="s">
        <v>275</v>
      </c>
      <c r="J31" s="43" t="s">
        <v>55</v>
      </c>
      <c r="K31" s="114"/>
    </row>
    <row r="32" spans="2:11" s="192" customFormat="1" ht="15.75" hidden="1" thickBot="1">
      <c r="B32" s="219"/>
      <c r="C32" s="224">
        <v>1</v>
      </c>
      <c r="D32" s="31" t="s">
        <v>1458</v>
      </c>
      <c r="E32" s="163"/>
      <c r="F32" s="209"/>
      <c r="G32" s="209"/>
      <c r="H32" s="209"/>
      <c r="I32" s="209"/>
      <c r="J32" s="31"/>
      <c r="K32" s="112"/>
    </row>
    <row r="33" spans="2:11" s="192" customFormat="1" ht="15.75" hidden="1" thickBot="1">
      <c r="B33" s="219"/>
      <c r="C33" s="224">
        <v>2</v>
      </c>
      <c r="D33" s="31"/>
      <c r="E33" s="163"/>
      <c r="F33" s="209"/>
      <c r="G33" s="209"/>
      <c r="H33" s="209"/>
      <c r="I33" s="209"/>
      <c r="J33" s="31"/>
      <c r="K33" s="112"/>
    </row>
    <row r="34" spans="2:11" s="192" customFormat="1" ht="15.75" hidden="1" thickBot="1">
      <c r="B34" s="219"/>
      <c r="C34" s="224">
        <v>3</v>
      </c>
      <c r="D34" s="31"/>
      <c r="E34" s="163"/>
      <c r="F34" s="209"/>
      <c r="G34" s="209"/>
      <c r="H34" s="209"/>
      <c r="I34" s="209"/>
      <c r="J34" s="31"/>
      <c r="K34" s="112"/>
    </row>
    <row r="35" spans="2:11" s="192" customFormat="1" ht="15.75" hidden="1" thickBot="1">
      <c r="B35" s="219"/>
      <c r="C35" s="224">
        <v>4</v>
      </c>
      <c r="D35" s="31"/>
      <c r="E35" s="163"/>
      <c r="F35" s="209"/>
      <c r="G35" s="209"/>
      <c r="H35" s="209"/>
      <c r="I35" s="209"/>
      <c r="J35" s="31"/>
      <c r="K35" s="112"/>
    </row>
    <row r="36" spans="2:11" s="192" customFormat="1" ht="15.75" hidden="1" thickBot="1">
      <c r="B36" s="219"/>
      <c r="C36" s="224">
        <v>5</v>
      </c>
      <c r="D36" s="31"/>
      <c r="E36" s="163"/>
      <c r="F36" s="209"/>
      <c r="G36" s="209"/>
      <c r="H36" s="209"/>
      <c r="I36" s="209"/>
      <c r="J36" s="31"/>
      <c r="K36" s="112"/>
    </row>
    <row r="37" spans="2:11" s="192" customFormat="1" ht="15.75" hidden="1" thickBot="1">
      <c r="B37" s="219"/>
      <c r="C37" s="224">
        <v>6</v>
      </c>
      <c r="D37" s="31"/>
      <c r="E37" s="163"/>
      <c r="F37" s="209"/>
      <c r="G37" s="209"/>
      <c r="H37" s="209"/>
      <c r="I37" s="209"/>
      <c r="J37" s="31"/>
      <c r="K37" s="112"/>
    </row>
    <row r="38" spans="2:11" s="192" customFormat="1" ht="15.75" hidden="1" thickBot="1">
      <c r="B38" s="219"/>
      <c r="C38" s="224">
        <v>7</v>
      </c>
      <c r="D38" s="31"/>
      <c r="E38" s="163"/>
      <c r="F38" s="209"/>
      <c r="G38" s="209"/>
      <c r="H38" s="209"/>
      <c r="I38" s="209"/>
      <c r="J38" s="31"/>
      <c r="K38" s="112"/>
    </row>
    <row r="39" spans="2:11" s="192" customFormat="1" ht="15.75" hidden="1" thickBot="1">
      <c r="B39" s="219"/>
      <c r="C39" s="224">
        <v>8</v>
      </c>
      <c r="D39" s="31"/>
      <c r="E39" s="163"/>
      <c r="F39" s="209"/>
      <c r="G39" s="209"/>
      <c r="H39" s="209"/>
      <c r="I39" s="209"/>
      <c r="J39" s="31"/>
      <c r="K39" s="112"/>
    </row>
    <row r="40" spans="2:11" s="192" customFormat="1" ht="15.75" hidden="1" thickBot="1">
      <c r="B40" s="219"/>
      <c r="C40" s="224">
        <v>9</v>
      </c>
      <c r="D40" s="31"/>
      <c r="E40" s="163"/>
      <c r="F40" s="209"/>
      <c r="G40" s="209"/>
      <c r="H40" s="209"/>
      <c r="I40" s="209"/>
      <c r="J40" s="31"/>
      <c r="K40" s="112"/>
    </row>
    <row r="41" spans="2:11" s="192" customFormat="1" ht="15.75" hidden="1" thickBot="1">
      <c r="B41" s="219"/>
      <c r="C41" s="224">
        <v>10</v>
      </c>
      <c r="D41" s="31"/>
      <c r="E41" s="163"/>
      <c r="F41" s="209"/>
      <c r="G41" s="209"/>
      <c r="H41" s="209"/>
      <c r="I41" s="209"/>
      <c r="J41" s="31"/>
      <c r="K41" s="112"/>
    </row>
    <row r="42" spans="2:11" s="192" customFormat="1" ht="15.75" hidden="1" thickBot="1">
      <c r="B42" s="219"/>
      <c r="C42" s="224">
        <v>11</v>
      </c>
      <c r="D42" s="31"/>
      <c r="E42" s="163"/>
      <c r="F42" s="209"/>
      <c r="G42" s="209"/>
      <c r="H42" s="209"/>
      <c r="I42" s="209"/>
      <c r="J42" s="31"/>
      <c r="K42" s="112"/>
    </row>
    <row r="43" spans="2:11" s="192" customFormat="1" ht="15.75" hidden="1" thickBot="1">
      <c r="B43" s="219"/>
      <c r="C43" s="224">
        <v>12</v>
      </c>
      <c r="D43" s="31"/>
      <c r="E43" s="163"/>
      <c r="F43" s="209"/>
      <c r="G43" s="209"/>
      <c r="H43" s="209"/>
      <c r="I43" s="209"/>
      <c r="J43" s="31"/>
      <c r="K43" s="112"/>
    </row>
    <row r="44" spans="2:11" s="192" customFormat="1" ht="15.75" hidden="1" thickBot="1">
      <c r="B44" s="219"/>
      <c r="C44" s="224">
        <v>13</v>
      </c>
      <c r="D44" s="31"/>
      <c r="E44" s="163"/>
      <c r="F44" s="209"/>
      <c r="G44" s="209"/>
      <c r="H44" s="209"/>
      <c r="I44" s="209"/>
      <c r="J44" s="31"/>
      <c r="K44" s="112"/>
    </row>
    <row r="45" spans="2:11" s="192" customFormat="1" ht="15.75" hidden="1" thickBot="1">
      <c r="B45" s="219"/>
      <c r="C45" s="224">
        <v>14</v>
      </c>
      <c r="D45" s="31"/>
      <c r="E45" s="163"/>
      <c r="F45" s="209"/>
      <c r="G45" s="209"/>
      <c r="H45" s="209"/>
      <c r="I45" s="209"/>
      <c r="J45" s="31"/>
      <c r="K45" s="112"/>
    </row>
    <row r="46" spans="2:11" s="192" customFormat="1" ht="15.75" hidden="1" thickBot="1">
      <c r="B46" s="219"/>
      <c r="C46" s="224">
        <v>15</v>
      </c>
      <c r="D46" s="31"/>
      <c r="E46" s="163"/>
      <c r="F46" s="209"/>
      <c r="G46" s="209"/>
      <c r="H46" s="209"/>
      <c r="I46" s="209"/>
      <c r="J46" s="31"/>
      <c r="K46" s="112"/>
    </row>
    <row r="47" spans="2:11" s="192" customFormat="1" ht="15.75" hidden="1" thickBot="1">
      <c r="B47" s="219"/>
      <c r="C47" s="224">
        <v>16</v>
      </c>
      <c r="D47" s="31"/>
      <c r="E47" s="163"/>
      <c r="F47" s="209"/>
      <c r="G47" s="209"/>
      <c r="H47" s="209"/>
      <c r="I47" s="209"/>
      <c r="J47" s="31"/>
      <c r="K47" s="112"/>
    </row>
    <row r="48" spans="2:11" s="192" customFormat="1" ht="15.75" hidden="1" thickBot="1">
      <c r="B48" s="219"/>
      <c r="C48" s="224">
        <v>17</v>
      </c>
      <c r="D48" s="31"/>
      <c r="E48" s="163"/>
      <c r="F48" s="209"/>
      <c r="G48" s="209"/>
      <c r="H48" s="209"/>
      <c r="I48" s="209"/>
      <c r="J48" s="31"/>
      <c r="K48" s="112"/>
    </row>
    <row r="49" spans="2:11" s="192" customFormat="1" ht="15.75" hidden="1" thickBot="1">
      <c r="B49" s="219"/>
      <c r="C49" s="224">
        <v>18</v>
      </c>
      <c r="D49" s="31"/>
      <c r="E49" s="163"/>
      <c r="F49" s="209"/>
      <c r="G49" s="209"/>
      <c r="H49" s="209"/>
      <c r="I49" s="209"/>
      <c r="J49" s="31"/>
      <c r="K49" s="112"/>
    </row>
    <row r="50" spans="2:11" s="192" customFormat="1" ht="15.75" hidden="1" thickBot="1">
      <c r="B50" s="219"/>
      <c r="C50" s="224">
        <v>19</v>
      </c>
      <c r="D50" s="31"/>
      <c r="E50" s="163"/>
      <c r="F50" s="209"/>
      <c r="G50" s="209"/>
      <c r="H50" s="209"/>
      <c r="I50" s="209"/>
      <c r="J50" s="31"/>
      <c r="K50" s="112"/>
    </row>
    <row r="51" spans="2:11" ht="15.75" hidden="1" thickBot="1">
      <c r="B51" s="222"/>
      <c r="C51" s="3"/>
      <c r="D51" s="40" t="s">
        <v>151</v>
      </c>
      <c r="E51" s="110"/>
      <c r="F51" s="140">
        <f>SUM(F32:F50)</f>
        <v>0</v>
      </c>
      <c r="G51" s="140">
        <f>SUM(G32:G50)</f>
        <v>0</v>
      </c>
      <c r="H51" s="140">
        <f>SUM(H32:H50)</f>
        <v>0</v>
      </c>
      <c r="I51" s="140">
        <f>SUM(I32:I50)</f>
        <v>0</v>
      </c>
      <c r="J51" s="31"/>
      <c r="K51" s="116"/>
    </row>
    <row r="52" spans="2:11" ht="15.75" hidden="1" thickBot="1">
      <c r="B52" s="223"/>
      <c r="C52" s="92"/>
      <c r="D52" s="1453" t="s">
        <v>276</v>
      </c>
      <c r="E52" s="1454"/>
      <c r="F52" s="1454"/>
      <c r="G52" s="1454"/>
      <c r="H52" s="1454"/>
      <c r="I52" s="1454"/>
      <c r="J52" s="1454"/>
      <c r="K52" s="1455"/>
    </row>
    <row r="53" spans="2:11" ht="36" customHeight="1" thickBot="1">
      <c r="B53" s="71" t="s">
        <v>34</v>
      </c>
      <c r="C53" s="107"/>
      <c r="D53" s="1453" t="s">
        <v>277</v>
      </c>
      <c r="E53" s="1454"/>
      <c r="F53" s="1454"/>
      <c r="G53" s="1454"/>
      <c r="H53" s="1454"/>
      <c r="I53" s="1454"/>
      <c r="J53" s="1454"/>
      <c r="K53" s="1455"/>
    </row>
    <row r="54" spans="2:11" ht="23.25" thickBot="1">
      <c r="B54" s="71" t="s">
        <v>36</v>
      </c>
      <c r="C54" s="107"/>
      <c r="D54" s="1453" t="s">
        <v>278</v>
      </c>
      <c r="E54" s="1454"/>
      <c r="F54" s="1454"/>
      <c r="G54" s="1454"/>
      <c r="H54" s="1454"/>
      <c r="I54" s="1454"/>
      <c r="J54" s="1454"/>
      <c r="K54" s="1455"/>
    </row>
    <row r="55" spans="2:11" ht="15.75" thickBot="1">
      <c r="B55" s="2"/>
      <c r="C55" s="75"/>
      <c r="D55" s="6"/>
      <c r="E55" s="6"/>
      <c r="F55" s="6"/>
      <c r="G55" s="6"/>
      <c r="H55" s="6"/>
      <c r="I55" s="6"/>
      <c r="J55" s="6"/>
      <c r="K55" s="6"/>
    </row>
    <row r="56" spans="2:11" ht="24" customHeight="1" thickBot="1">
      <c r="B56" s="1450" t="s">
        <v>38</v>
      </c>
      <c r="C56" s="1451"/>
      <c r="D56" s="1451"/>
      <c r="E56" s="1452"/>
      <c r="F56" s="6"/>
      <c r="G56" s="6"/>
      <c r="H56" s="6"/>
      <c r="I56" s="6"/>
      <c r="J56" s="6"/>
      <c r="K56" s="6"/>
    </row>
    <row r="57" spans="2:11" ht="15.75" thickBot="1">
      <c r="B57" s="1447">
        <v>1</v>
      </c>
      <c r="C57" s="93"/>
      <c r="D57" s="48" t="s">
        <v>39</v>
      </c>
      <c r="E57" s="554"/>
      <c r="F57" s="6"/>
      <c r="G57" s="6"/>
      <c r="H57" s="6"/>
      <c r="I57" s="6"/>
      <c r="J57" s="6"/>
      <c r="K57" s="6"/>
    </row>
    <row r="58" spans="2:11" ht="36.75" thickBot="1">
      <c r="B58" s="1448"/>
      <c r="C58" s="93"/>
      <c r="D58" s="40" t="s">
        <v>40</v>
      </c>
      <c r="E58" s="554" t="s">
        <v>1380</v>
      </c>
      <c r="F58" s="6"/>
      <c r="G58" s="6"/>
      <c r="H58" s="6"/>
      <c r="I58" s="6"/>
      <c r="J58" s="6"/>
      <c r="K58" s="6"/>
    </row>
    <row r="59" spans="2:11" ht="24.75" thickBot="1">
      <c r="B59" s="1448"/>
      <c r="C59" s="93"/>
      <c r="D59" s="40" t="s">
        <v>41</v>
      </c>
      <c r="E59" s="554" t="s">
        <v>1364</v>
      </c>
      <c r="F59" s="6"/>
      <c r="G59" s="6"/>
      <c r="H59" s="6"/>
      <c r="I59" s="6"/>
      <c r="J59" s="6"/>
      <c r="K59" s="6"/>
    </row>
    <row r="60" spans="2:11" ht="24.75" thickBot="1">
      <c r="B60" s="1448"/>
      <c r="C60" s="93"/>
      <c r="D60" s="40" t="s">
        <v>42</v>
      </c>
      <c r="E60" s="554" t="s">
        <v>1365</v>
      </c>
      <c r="F60" s="6"/>
      <c r="G60" s="6"/>
      <c r="H60" s="6"/>
      <c r="I60" s="6"/>
      <c r="J60" s="6"/>
      <c r="K60" s="6"/>
    </row>
    <row r="61" spans="2:11" ht="45.75" thickBot="1">
      <c r="B61" s="1448"/>
      <c r="C61" s="93"/>
      <c r="D61" s="40" t="s">
        <v>43</v>
      </c>
      <c r="E61" s="579" t="s">
        <v>1381</v>
      </c>
      <c r="F61" s="6"/>
      <c r="G61" s="6"/>
      <c r="H61" s="6"/>
      <c r="I61" s="6"/>
      <c r="J61" s="6"/>
      <c r="K61" s="6"/>
    </row>
    <row r="62" spans="2:11" ht="15.75" thickBot="1">
      <c r="B62" s="1448"/>
      <c r="C62" s="93"/>
      <c r="D62" s="40" t="s">
        <v>44</v>
      </c>
      <c r="E62" s="554">
        <v>5748960</v>
      </c>
      <c r="F62" s="6"/>
      <c r="G62" s="6"/>
      <c r="H62" s="6"/>
      <c r="I62" s="6"/>
      <c r="J62" s="6"/>
      <c r="K62" s="6"/>
    </row>
    <row r="63" spans="2:11" ht="36.75" thickBot="1">
      <c r="B63" s="1449"/>
      <c r="C63" s="3"/>
      <c r="D63" s="40" t="s">
        <v>45</v>
      </c>
      <c r="E63" s="554" t="s">
        <v>1379</v>
      </c>
      <c r="F63" s="6"/>
      <c r="G63" s="6"/>
      <c r="H63" s="6"/>
      <c r="I63" s="6"/>
      <c r="J63" s="6"/>
      <c r="K63" s="6"/>
    </row>
    <row r="64" spans="2:11" ht="15.75" thickBot="1">
      <c r="B64" s="2"/>
      <c r="C64" s="75"/>
      <c r="D64" s="6"/>
      <c r="E64" s="6"/>
      <c r="F64" s="6"/>
      <c r="G64" s="6"/>
      <c r="H64" s="6"/>
      <c r="I64" s="6"/>
      <c r="J64" s="6"/>
      <c r="K64" s="6"/>
    </row>
    <row r="65" spans="2:11" ht="15.75" thickBot="1">
      <c r="B65" s="1450" t="s">
        <v>46</v>
      </c>
      <c r="C65" s="1451"/>
      <c r="D65" s="1451"/>
      <c r="E65" s="1452"/>
      <c r="F65" s="6"/>
      <c r="G65" s="6"/>
      <c r="H65" s="6"/>
      <c r="I65" s="6"/>
      <c r="J65" s="6"/>
      <c r="K65" s="6"/>
    </row>
    <row r="66" spans="2:11" ht="60.75" thickBot="1">
      <c r="B66" s="1447">
        <v>1</v>
      </c>
      <c r="C66" s="93"/>
      <c r="D66" s="48" t="s">
        <v>39</v>
      </c>
      <c r="E66" s="622" t="s">
        <v>47</v>
      </c>
      <c r="F66" s="6"/>
      <c r="G66" s="6"/>
      <c r="H66" s="6"/>
      <c r="I66" s="6"/>
      <c r="J66" s="6"/>
      <c r="K66" s="6"/>
    </row>
    <row r="67" spans="2:11" ht="84.75" thickBot="1">
      <c r="B67" s="1448"/>
      <c r="C67" s="93"/>
      <c r="D67" s="40" t="s">
        <v>40</v>
      </c>
      <c r="E67" s="622" t="s">
        <v>48</v>
      </c>
      <c r="F67" s="6"/>
      <c r="G67" s="6"/>
      <c r="H67" s="6"/>
      <c r="I67" s="6"/>
      <c r="J67" s="6"/>
      <c r="K67" s="6"/>
    </row>
    <row r="68" spans="2:11" ht="15.75" thickBot="1">
      <c r="B68" s="1448"/>
      <c r="C68" s="93"/>
      <c r="D68" s="40" t="s">
        <v>41</v>
      </c>
      <c r="E68" s="291"/>
      <c r="F68" s="6"/>
      <c r="G68" s="6"/>
      <c r="H68" s="6"/>
      <c r="I68" s="6"/>
      <c r="J68" s="6"/>
      <c r="K68" s="6"/>
    </row>
    <row r="69" spans="2:11" ht="15.75" thickBot="1">
      <c r="B69" s="1448"/>
      <c r="C69" s="93"/>
      <c r="D69" s="40" t="s">
        <v>42</v>
      </c>
      <c r="E69" s="291"/>
      <c r="F69" s="6"/>
      <c r="G69" s="6"/>
      <c r="H69" s="6"/>
      <c r="I69" s="6"/>
      <c r="J69" s="6"/>
      <c r="K69" s="6"/>
    </row>
    <row r="70" spans="2:11" ht="15.75" thickBot="1">
      <c r="B70" s="1448"/>
      <c r="C70" s="93"/>
      <c r="D70" s="40" t="s">
        <v>43</v>
      </c>
      <c r="E70" s="291"/>
      <c r="F70" s="6"/>
      <c r="G70" s="6"/>
      <c r="H70" s="6"/>
      <c r="I70" s="6"/>
      <c r="J70" s="6"/>
      <c r="K70" s="6"/>
    </row>
    <row r="71" spans="2:11" ht="15.75" thickBot="1">
      <c r="B71" s="1448"/>
      <c r="C71" s="93"/>
      <c r="D71" s="40" t="s">
        <v>44</v>
      </c>
      <c r="E71" s="291"/>
      <c r="F71" s="6"/>
      <c r="G71" s="6"/>
      <c r="H71" s="6"/>
      <c r="I71" s="6"/>
      <c r="J71" s="6"/>
      <c r="K71" s="6"/>
    </row>
    <row r="72" spans="2:11" ht="15.75" thickBot="1">
      <c r="B72" s="1449"/>
      <c r="C72" s="3"/>
      <c r="D72" s="40" t="s">
        <v>45</v>
      </c>
      <c r="E72" s="291"/>
      <c r="F72" s="6"/>
      <c r="G72" s="6"/>
      <c r="H72" s="6"/>
      <c r="I72" s="6"/>
      <c r="J72" s="6"/>
      <c r="K72" s="6"/>
    </row>
    <row r="73" spans="2:11" ht="15.75" thickBot="1">
      <c r="B73" s="2"/>
      <c r="C73" s="75"/>
      <c r="D73" s="6"/>
      <c r="E73" s="6"/>
      <c r="F73" s="6"/>
      <c r="G73" s="6"/>
      <c r="H73" s="6"/>
      <c r="I73" s="6"/>
      <c r="J73" s="6"/>
      <c r="K73" s="6"/>
    </row>
    <row r="74" spans="2:11" ht="15.75" thickBot="1">
      <c r="B74" s="1450" t="s">
        <v>49</v>
      </c>
      <c r="C74" s="1451"/>
      <c r="D74" s="1451"/>
      <c r="E74" s="1451"/>
      <c r="F74" s="1452"/>
      <c r="G74" s="6"/>
      <c r="H74" s="6"/>
      <c r="I74" s="6"/>
      <c r="J74" s="6"/>
      <c r="K74" s="6"/>
    </row>
    <row r="75" spans="2:11" ht="24.75" thickBot="1">
      <c r="B75" s="47" t="s">
        <v>50</v>
      </c>
      <c r="C75" s="40" t="s">
        <v>51</v>
      </c>
      <c r="D75" s="40" t="s">
        <v>52</v>
      </c>
      <c r="E75" s="40" t="s">
        <v>53</v>
      </c>
      <c r="F75" s="6"/>
      <c r="G75" s="6"/>
      <c r="H75" s="6"/>
      <c r="I75" s="6"/>
      <c r="J75" s="6"/>
    </row>
    <row r="76" spans="2:11" ht="96.75" thickBot="1">
      <c r="B76" s="49">
        <v>42401</v>
      </c>
      <c r="C76" s="40">
        <v>0.01</v>
      </c>
      <c r="D76" s="68" t="s">
        <v>279</v>
      </c>
      <c r="E76" s="40"/>
      <c r="F76" s="6"/>
      <c r="G76" s="6"/>
      <c r="H76" s="6"/>
      <c r="I76" s="6"/>
      <c r="J76" s="6"/>
    </row>
    <row r="77" spans="2:11" ht="15.75" thickBot="1">
      <c r="B77" s="2"/>
      <c r="C77" s="75"/>
      <c r="D77" s="6"/>
      <c r="E77" s="6"/>
      <c r="F77" s="6"/>
      <c r="G77" s="6"/>
      <c r="H77" s="6"/>
      <c r="I77" s="6"/>
      <c r="J77" s="6"/>
      <c r="K77" s="6"/>
    </row>
    <row r="78" spans="2:11" ht="15.75" thickBot="1">
      <c r="B78" s="5" t="s">
        <v>55</v>
      </c>
      <c r="C78" s="95"/>
      <c r="D78" s="6"/>
      <c r="E78" s="6"/>
      <c r="F78" s="6"/>
      <c r="G78" s="6"/>
      <c r="H78" s="6"/>
      <c r="I78" s="6"/>
      <c r="J78" s="6"/>
      <c r="K78" s="6"/>
    </row>
    <row r="79" spans="2:11">
      <c r="B79" s="1440"/>
      <c r="C79" s="1441"/>
      <c r="D79" s="1441"/>
      <c r="E79" s="1441"/>
      <c r="F79" s="1441"/>
      <c r="G79" s="1441"/>
      <c r="H79" s="1441"/>
      <c r="I79" s="1441"/>
      <c r="J79" s="1441"/>
      <c r="K79" s="6"/>
    </row>
    <row r="80" spans="2:11" ht="15.75" thickBot="1">
      <c r="B80" s="1440"/>
      <c r="C80" s="1441"/>
      <c r="D80" s="1441"/>
      <c r="E80" s="1441"/>
      <c r="F80" s="1441"/>
      <c r="G80" s="1441"/>
      <c r="H80" s="1441"/>
      <c r="I80" s="1441"/>
      <c r="J80" s="1441"/>
      <c r="K80" s="6"/>
    </row>
    <row r="81" spans="2:11" ht="15.75" thickBot="1">
      <c r="B81" s="1450" t="s">
        <v>56</v>
      </c>
      <c r="C81" s="1451"/>
      <c r="D81" s="1452"/>
      <c r="E81" s="6"/>
      <c r="F81" s="6"/>
      <c r="G81" s="6"/>
      <c r="H81" s="6"/>
      <c r="I81" s="6"/>
      <c r="J81" s="6"/>
      <c r="K81" s="6"/>
    </row>
    <row r="82" spans="2:11" ht="120.75" thickBot="1">
      <c r="B82" s="47" t="s">
        <v>57</v>
      </c>
      <c r="C82" s="3"/>
      <c r="D82" s="40" t="s">
        <v>221</v>
      </c>
      <c r="E82" s="6"/>
      <c r="F82" s="6"/>
      <c r="G82" s="6"/>
      <c r="H82" s="6"/>
      <c r="I82" s="6"/>
      <c r="J82" s="6"/>
      <c r="K82" s="6"/>
    </row>
    <row r="83" spans="2:11">
      <c r="B83" s="1447" t="s">
        <v>59</v>
      </c>
      <c r="C83" s="93"/>
      <c r="D83" s="53" t="s">
        <v>60</v>
      </c>
      <c r="E83" s="6"/>
      <c r="F83" s="6"/>
      <c r="G83" s="6"/>
      <c r="H83" s="6"/>
      <c r="I83" s="6"/>
      <c r="J83" s="6"/>
      <c r="K83" s="6"/>
    </row>
    <row r="84" spans="2:11" ht="72">
      <c r="B84" s="1448"/>
      <c r="C84" s="93"/>
      <c r="D84" s="46" t="s">
        <v>222</v>
      </c>
      <c r="E84" s="6"/>
      <c r="F84" s="6"/>
      <c r="G84" s="6"/>
      <c r="H84" s="6"/>
      <c r="I84" s="6"/>
      <c r="J84" s="6"/>
      <c r="K84" s="6"/>
    </row>
    <row r="85" spans="2:11" ht="48">
      <c r="B85" s="1448"/>
      <c r="C85" s="93"/>
      <c r="D85" s="46" t="s">
        <v>223</v>
      </c>
      <c r="E85" s="6"/>
      <c r="F85" s="6"/>
      <c r="G85" s="6"/>
      <c r="H85" s="6"/>
      <c r="I85" s="6"/>
      <c r="J85" s="6"/>
      <c r="K85" s="6"/>
    </row>
    <row r="86" spans="2:11">
      <c r="B86" s="1448"/>
      <c r="C86" s="93"/>
      <c r="D86" s="53" t="s">
        <v>224</v>
      </c>
      <c r="E86" s="6"/>
      <c r="F86" s="6"/>
      <c r="G86" s="6"/>
      <c r="H86" s="6"/>
      <c r="I86" s="6"/>
      <c r="J86" s="6"/>
      <c r="K86" s="6"/>
    </row>
    <row r="87" spans="2:11">
      <c r="B87" s="1448"/>
      <c r="C87" s="93"/>
      <c r="D87" s="46" t="s">
        <v>64</v>
      </c>
      <c r="E87" s="6"/>
      <c r="F87" s="6"/>
      <c r="G87" s="6"/>
      <c r="H87" s="6"/>
      <c r="I87" s="6"/>
      <c r="J87" s="6"/>
      <c r="K87" s="6"/>
    </row>
    <row r="88" spans="2:11">
      <c r="B88" s="1448"/>
      <c r="C88" s="93"/>
      <c r="D88" s="46" t="s">
        <v>165</v>
      </c>
      <c r="E88" s="6"/>
      <c r="F88" s="6"/>
      <c r="G88" s="6"/>
      <c r="H88" s="6"/>
      <c r="I88" s="6"/>
      <c r="J88" s="6"/>
      <c r="K88" s="6"/>
    </row>
    <row r="89" spans="2:11" ht="15.75" thickBot="1">
      <c r="B89" s="1449"/>
      <c r="C89" s="3"/>
      <c r="D89" s="40" t="s">
        <v>225</v>
      </c>
      <c r="E89" s="6"/>
      <c r="F89" s="6"/>
      <c r="G89" s="6"/>
      <c r="H89" s="6"/>
      <c r="I89" s="6"/>
      <c r="J89" s="6"/>
      <c r="K89" s="6"/>
    </row>
    <row r="90" spans="2:11" ht="24.75" thickBot="1">
      <c r="B90" s="47" t="s">
        <v>72</v>
      </c>
      <c r="C90" s="3"/>
      <c r="D90" s="40"/>
      <c r="E90" s="6"/>
      <c r="F90" s="6"/>
      <c r="G90" s="6"/>
      <c r="H90" s="6"/>
      <c r="I90" s="6"/>
      <c r="J90" s="6"/>
      <c r="K90" s="6"/>
    </row>
    <row r="91" spans="2:11" ht="156">
      <c r="B91" s="1447" t="s">
        <v>73</v>
      </c>
      <c r="C91" s="93"/>
      <c r="D91" s="46" t="s">
        <v>226</v>
      </c>
      <c r="E91" s="6"/>
      <c r="F91" s="6"/>
      <c r="G91" s="6"/>
      <c r="H91" s="6"/>
      <c r="I91" s="6"/>
      <c r="J91" s="6"/>
      <c r="K91" s="6"/>
    </row>
    <row r="92" spans="2:11" ht="132.75" thickBot="1">
      <c r="B92" s="1449"/>
      <c r="C92" s="3"/>
      <c r="D92" s="40" t="s">
        <v>227</v>
      </c>
      <c r="E92" s="6"/>
      <c r="F92" s="6"/>
      <c r="G92" s="6"/>
      <c r="H92" s="6"/>
      <c r="I92" s="6"/>
      <c r="J92" s="6"/>
      <c r="K92" s="6"/>
    </row>
    <row r="93" spans="2:11" ht="29.45" customHeight="1">
      <c r="B93" s="1447" t="s">
        <v>90</v>
      </c>
      <c r="C93" s="93"/>
      <c r="D93" s="46" t="s">
        <v>91</v>
      </c>
      <c r="E93" s="6"/>
      <c r="F93" s="6"/>
      <c r="G93" s="6"/>
      <c r="H93" s="6"/>
      <c r="I93" s="6"/>
      <c r="J93" s="6"/>
      <c r="K93" s="6"/>
    </row>
    <row r="94" spans="2:11" ht="73.5">
      <c r="B94" s="1448"/>
      <c r="C94" s="93"/>
      <c r="D94" s="46" t="s">
        <v>228</v>
      </c>
      <c r="E94" s="6"/>
      <c r="F94" s="6"/>
      <c r="G94" s="6"/>
      <c r="H94" s="6"/>
      <c r="I94" s="6"/>
      <c r="J94" s="6"/>
      <c r="K94" s="6"/>
    </row>
    <row r="95" spans="2:11" ht="37.5">
      <c r="B95" s="1448"/>
      <c r="C95" s="93"/>
      <c r="D95" s="46" t="s">
        <v>229</v>
      </c>
      <c r="E95" s="6"/>
      <c r="F95" s="6"/>
      <c r="G95" s="6"/>
      <c r="H95" s="6"/>
      <c r="I95" s="6"/>
      <c r="J95" s="6"/>
      <c r="K95" s="6"/>
    </row>
    <row r="96" spans="2:11" ht="37.5">
      <c r="B96" s="1448"/>
      <c r="C96" s="93"/>
      <c r="D96" s="46" t="s">
        <v>230</v>
      </c>
      <c r="E96" s="6"/>
      <c r="F96" s="6"/>
      <c r="G96" s="6"/>
      <c r="H96" s="6"/>
      <c r="I96" s="6"/>
      <c r="J96" s="6"/>
      <c r="K96" s="6"/>
    </row>
    <row r="97" spans="2:11" ht="37.5">
      <c r="B97" s="1448"/>
      <c r="C97" s="93"/>
      <c r="D97" s="46" t="s">
        <v>231</v>
      </c>
      <c r="E97" s="6"/>
      <c r="F97" s="6"/>
      <c r="G97" s="6"/>
      <c r="H97" s="6"/>
      <c r="I97" s="6"/>
      <c r="J97" s="6"/>
      <c r="K97" s="6"/>
    </row>
    <row r="98" spans="2:11">
      <c r="B98" s="1448"/>
      <c r="C98" s="93"/>
      <c r="D98" s="46" t="s">
        <v>232</v>
      </c>
      <c r="E98" s="6"/>
      <c r="F98" s="6"/>
      <c r="G98" s="6"/>
      <c r="H98" s="6"/>
      <c r="I98" s="6"/>
      <c r="J98" s="6"/>
      <c r="K98" s="6"/>
    </row>
    <row r="99" spans="2:11">
      <c r="B99" s="1448"/>
      <c r="C99" s="93"/>
      <c r="D99" s="46" t="s">
        <v>233</v>
      </c>
      <c r="E99" s="6"/>
      <c r="F99" s="6"/>
      <c r="G99" s="6"/>
      <c r="H99" s="6"/>
      <c r="I99" s="6"/>
      <c r="J99" s="6"/>
      <c r="K99" s="6"/>
    </row>
    <row r="100" spans="2:11">
      <c r="B100" s="1448"/>
      <c r="C100" s="93"/>
      <c r="D100" s="46" t="s">
        <v>234</v>
      </c>
      <c r="E100" s="6"/>
      <c r="F100" s="6"/>
      <c r="G100" s="6"/>
      <c r="H100" s="6"/>
      <c r="I100" s="6"/>
      <c r="J100" s="6"/>
      <c r="K100" s="6"/>
    </row>
    <row r="101" spans="2:11">
      <c r="B101" s="1448"/>
      <c r="C101" s="93"/>
      <c r="D101" s="46" t="s">
        <v>99</v>
      </c>
      <c r="E101" s="6"/>
      <c r="F101" s="6"/>
      <c r="G101" s="6"/>
      <c r="H101" s="6"/>
      <c r="I101" s="6"/>
      <c r="J101" s="6"/>
      <c r="K101" s="6"/>
    </row>
    <row r="102" spans="2:11" ht="84">
      <c r="B102" s="1448"/>
      <c r="C102" s="93"/>
      <c r="D102" s="54" t="s">
        <v>235</v>
      </c>
      <c r="E102" s="6"/>
      <c r="F102" s="6"/>
      <c r="G102" s="6"/>
      <c r="H102" s="6"/>
      <c r="I102" s="6"/>
      <c r="J102" s="6"/>
      <c r="K102" s="6"/>
    </row>
    <row r="103" spans="2:11" ht="24">
      <c r="B103" s="1448"/>
      <c r="C103" s="93"/>
      <c r="D103" s="53" t="s">
        <v>236</v>
      </c>
      <c r="E103" s="6"/>
      <c r="F103" s="6"/>
      <c r="G103" s="6"/>
      <c r="H103" s="6"/>
      <c r="I103" s="6"/>
      <c r="J103" s="6"/>
      <c r="K103" s="6"/>
    </row>
    <row r="104" spans="2:11">
      <c r="B104" s="1448"/>
      <c r="C104" s="93"/>
      <c r="D104" s="17"/>
      <c r="E104" s="6"/>
      <c r="F104" s="6"/>
      <c r="G104" s="6"/>
      <c r="H104" s="6"/>
      <c r="I104" s="6"/>
      <c r="J104" s="6"/>
      <c r="K104" s="6"/>
    </row>
    <row r="105" spans="2:11">
      <c r="B105" s="1448"/>
      <c r="C105" s="93"/>
      <c r="D105" s="46" t="s">
        <v>91</v>
      </c>
      <c r="E105" s="6"/>
      <c r="F105" s="6"/>
      <c r="G105" s="6"/>
      <c r="H105" s="6"/>
      <c r="I105" s="6"/>
      <c r="J105" s="6"/>
      <c r="K105" s="6"/>
    </row>
    <row r="106" spans="2:11" ht="37.5">
      <c r="B106" s="1448"/>
      <c r="C106" s="93"/>
      <c r="D106" s="46" t="s">
        <v>229</v>
      </c>
      <c r="E106" s="6"/>
      <c r="F106" s="6"/>
      <c r="G106" s="6"/>
      <c r="H106" s="6"/>
      <c r="I106" s="6"/>
      <c r="J106" s="6"/>
      <c r="K106" s="6"/>
    </row>
    <row r="107" spans="2:11" ht="25.5">
      <c r="B107" s="1448"/>
      <c r="C107" s="93"/>
      <c r="D107" s="46" t="s">
        <v>237</v>
      </c>
      <c r="E107" s="6"/>
      <c r="F107" s="6"/>
      <c r="G107" s="6"/>
      <c r="H107" s="6"/>
      <c r="I107" s="6"/>
      <c r="J107" s="6"/>
      <c r="K107" s="6"/>
    </row>
    <row r="108" spans="2:11">
      <c r="B108" s="1448"/>
      <c r="C108" s="93"/>
      <c r="D108" s="46" t="s">
        <v>238</v>
      </c>
      <c r="E108" s="6"/>
      <c r="F108" s="6"/>
      <c r="G108" s="6"/>
      <c r="H108" s="6"/>
      <c r="I108" s="6"/>
      <c r="J108" s="6"/>
      <c r="K108" s="6"/>
    </row>
    <row r="109" spans="2:11">
      <c r="B109" s="1448"/>
      <c r="C109" s="93"/>
      <c r="D109" s="53" t="s">
        <v>239</v>
      </c>
      <c r="E109" s="6"/>
      <c r="F109" s="6"/>
      <c r="G109" s="6"/>
      <c r="H109" s="6"/>
      <c r="I109" s="6"/>
      <c r="J109" s="6"/>
      <c r="K109" s="6"/>
    </row>
    <row r="110" spans="2:11">
      <c r="B110" s="1448"/>
      <c r="C110" s="93"/>
      <c r="D110" s="17"/>
      <c r="E110" s="6"/>
      <c r="F110" s="6"/>
      <c r="G110" s="6"/>
      <c r="H110" s="6"/>
      <c r="I110" s="6"/>
      <c r="J110" s="6"/>
      <c r="K110" s="6"/>
    </row>
    <row r="111" spans="2:11">
      <c r="B111" s="1448"/>
      <c r="C111" s="93"/>
      <c r="D111" s="46" t="s">
        <v>91</v>
      </c>
      <c r="E111" s="6"/>
      <c r="F111" s="6"/>
      <c r="G111" s="6"/>
      <c r="H111" s="6"/>
      <c r="I111" s="6"/>
      <c r="J111" s="6"/>
      <c r="K111" s="6"/>
    </row>
    <row r="112" spans="2:11" ht="37.5">
      <c r="B112" s="1448"/>
      <c r="C112" s="93"/>
      <c r="D112" s="46" t="s">
        <v>230</v>
      </c>
      <c r="E112" s="6"/>
      <c r="F112" s="6"/>
      <c r="G112" s="6"/>
      <c r="H112" s="6"/>
      <c r="I112" s="6"/>
      <c r="J112" s="6"/>
      <c r="K112" s="6"/>
    </row>
    <row r="113" spans="2:11" ht="25.5">
      <c r="B113" s="1448"/>
      <c r="C113" s="93"/>
      <c r="D113" s="46" t="s">
        <v>240</v>
      </c>
      <c r="E113" s="6"/>
      <c r="F113" s="6"/>
      <c r="G113" s="6"/>
      <c r="H113" s="6"/>
      <c r="I113" s="6"/>
      <c r="J113" s="6"/>
      <c r="K113" s="6"/>
    </row>
    <row r="114" spans="2:11">
      <c r="B114" s="1448"/>
      <c r="C114" s="93"/>
      <c r="D114" s="46" t="s">
        <v>241</v>
      </c>
      <c r="E114" s="6"/>
      <c r="F114" s="6"/>
      <c r="G114" s="6"/>
      <c r="H114" s="6"/>
      <c r="I114" s="6"/>
      <c r="J114" s="6"/>
      <c r="K114" s="6"/>
    </row>
    <row r="115" spans="2:11">
      <c r="B115" s="1448"/>
      <c r="C115" s="93"/>
      <c r="D115" s="53" t="s">
        <v>242</v>
      </c>
      <c r="E115" s="6"/>
      <c r="F115" s="6"/>
      <c r="G115" s="6"/>
      <c r="H115" s="6"/>
      <c r="I115" s="6"/>
      <c r="J115" s="6"/>
      <c r="K115" s="6"/>
    </row>
    <row r="116" spans="2:11">
      <c r="B116" s="1448"/>
      <c r="C116" s="93"/>
      <c r="D116" s="17"/>
      <c r="E116" s="6"/>
      <c r="F116" s="6"/>
      <c r="G116" s="6"/>
      <c r="H116" s="6"/>
      <c r="I116" s="6"/>
      <c r="J116" s="6"/>
      <c r="K116" s="6"/>
    </row>
    <row r="117" spans="2:11">
      <c r="B117" s="1448"/>
      <c r="C117" s="93"/>
      <c r="D117" s="46" t="s">
        <v>91</v>
      </c>
      <c r="E117" s="6"/>
      <c r="F117" s="6"/>
      <c r="G117" s="6"/>
      <c r="H117" s="6"/>
      <c r="I117" s="6"/>
      <c r="J117" s="6"/>
      <c r="K117" s="6"/>
    </row>
    <row r="118" spans="2:11" ht="37.5">
      <c r="B118" s="1448"/>
      <c r="C118" s="93"/>
      <c r="D118" s="46" t="s">
        <v>243</v>
      </c>
      <c r="E118" s="6"/>
      <c r="F118" s="6"/>
      <c r="G118" s="6"/>
      <c r="H118" s="6"/>
      <c r="I118" s="6"/>
      <c r="J118" s="6"/>
      <c r="K118" s="6"/>
    </row>
    <row r="119" spans="2:11" ht="25.5">
      <c r="B119" s="1448"/>
      <c r="C119" s="93"/>
      <c r="D119" s="46" t="s">
        <v>244</v>
      </c>
      <c r="E119" s="6"/>
      <c r="F119" s="6"/>
      <c r="G119" s="6"/>
      <c r="H119" s="6"/>
      <c r="I119" s="6"/>
      <c r="J119" s="6"/>
      <c r="K119" s="6"/>
    </row>
    <row r="120" spans="2:11">
      <c r="B120" s="1448"/>
      <c r="C120" s="93"/>
      <c r="D120" s="46" t="s">
        <v>245</v>
      </c>
      <c r="E120" s="6"/>
      <c r="F120" s="6"/>
      <c r="G120" s="6"/>
      <c r="H120" s="6"/>
      <c r="I120" s="6"/>
      <c r="J120" s="6"/>
      <c r="K120" s="6"/>
    </row>
    <row r="121" spans="2:11">
      <c r="B121" s="1448"/>
      <c r="C121" s="93"/>
      <c r="D121" s="53" t="s">
        <v>246</v>
      </c>
      <c r="E121" s="6"/>
      <c r="F121" s="6"/>
      <c r="G121" s="6"/>
      <c r="H121" s="6"/>
      <c r="I121" s="6"/>
      <c r="J121" s="6"/>
      <c r="K121" s="6"/>
    </row>
    <row r="122" spans="2:11" ht="36">
      <c r="B122" s="1448"/>
      <c r="C122" s="93"/>
      <c r="D122" s="53" t="s">
        <v>247</v>
      </c>
      <c r="E122" s="6"/>
      <c r="F122" s="6"/>
      <c r="G122" s="6"/>
      <c r="H122" s="6"/>
      <c r="I122" s="6"/>
      <c r="J122" s="6"/>
      <c r="K122" s="6"/>
    </row>
    <row r="123" spans="2:11">
      <c r="B123" s="1448"/>
      <c r="C123" s="93"/>
      <c r="D123" s="46" t="s">
        <v>248</v>
      </c>
      <c r="E123" s="6"/>
      <c r="F123" s="6"/>
      <c r="G123" s="6"/>
      <c r="H123" s="6"/>
      <c r="I123" s="6"/>
      <c r="J123" s="6"/>
      <c r="K123" s="6"/>
    </row>
    <row r="124" spans="2:11">
      <c r="B124" s="1448"/>
      <c r="C124" s="93"/>
      <c r="D124" s="46" t="s">
        <v>91</v>
      </c>
      <c r="E124" s="6"/>
      <c r="F124" s="6"/>
      <c r="G124" s="6"/>
      <c r="H124" s="6"/>
      <c r="I124" s="6"/>
      <c r="J124" s="6"/>
      <c r="K124" s="6"/>
    </row>
    <row r="125" spans="2:11" ht="49.5">
      <c r="B125" s="1448"/>
      <c r="C125" s="93"/>
      <c r="D125" s="46" t="s">
        <v>249</v>
      </c>
      <c r="E125" s="6"/>
      <c r="F125" s="6"/>
      <c r="G125" s="6"/>
      <c r="H125" s="6"/>
      <c r="I125" s="6"/>
      <c r="J125" s="6"/>
      <c r="K125" s="6"/>
    </row>
    <row r="126" spans="2:11" ht="49.5">
      <c r="B126" s="1448"/>
      <c r="C126" s="93"/>
      <c r="D126" s="46" t="s">
        <v>250</v>
      </c>
      <c r="E126" s="6"/>
      <c r="F126" s="6"/>
      <c r="G126" s="6"/>
      <c r="H126" s="6"/>
      <c r="I126" s="6"/>
      <c r="J126" s="6"/>
      <c r="K126" s="6"/>
    </row>
    <row r="127" spans="2:11" ht="50.25" thickBot="1">
      <c r="B127" s="1449"/>
      <c r="C127" s="3"/>
      <c r="D127" s="40" t="s">
        <v>251</v>
      </c>
      <c r="E127" s="6"/>
      <c r="F127" s="6"/>
      <c r="G127" s="6"/>
      <c r="H127" s="6"/>
      <c r="I127" s="6"/>
      <c r="J127" s="6"/>
      <c r="K127" s="6"/>
    </row>
  </sheetData>
  <sheetProtection insertRows="0"/>
  <mergeCells count="29">
    <mergeCell ref="F10:R10"/>
    <mergeCell ref="F11:R11"/>
    <mergeCell ref="A1:P1"/>
    <mergeCell ref="A2:P2"/>
    <mergeCell ref="A3:P3"/>
    <mergeCell ref="A4:D4"/>
    <mergeCell ref="A5:P5"/>
    <mergeCell ref="B65:E65"/>
    <mergeCell ref="D29:K29"/>
    <mergeCell ref="D30:K30"/>
    <mergeCell ref="D53:K53"/>
    <mergeCell ref="D54:K54"/>
    <mergeCell ref="B56:E56"/>
    <mergeCell ref="B93:B127"/>
    <mergeCell ref="B66:B72"/>
    <mergeCell ref="B74:F74"/>
    <mergeCell ref="B10:D10"/>
    <mergeCell ref="E12:R12"/>
    <mergeCell ref="E13:R13"/>
    <mergeCell ref="D52:K52"/>
    <mergeCell ref="B15:B26"/>
    <mergeCell ref="B81:D81"/>
    <mergeCell ref="B83:B89"/>
    <mergeCell ref="B91:B92"/>
    <mergeCell ref="D15:K15"/>
    <mergeCell ref="D16:K16"/>
    <mergeCell ref="D28:K28"/>
    <mergeCell ref="B79:J80"/>
    <mergeCell ref="B57:B63"/>
  </mergeCells>
  <conditionalFormatting sqref="F11">
    <cfRule type="expression" dxfId="125" priority="4">
      <formula>E11="NO SE REPORTA"</formula>
    </cfRule>
    <cfRule type="expression" dxfId="124" priority="5">
      <formula>E10="NO APLICA"</formula>
    </cfRule>
  </conditionalFormatting>
  <conditionalFormatting sqref="E12:R12">
    <cfRule type="expression" dxfId="123" priority="3">
      <formula>E11="SI SE REPORTA"</formula>
    </cfRule>
  </conditionalFormatting>
  <conditionalFormatting sqref="F10">
    <cfRule type="expression" dxfId="122" priority="1">
      <formula>E10="NO SE REPORTA"</formula>
    </cfRule>
    <cfRule type="expression" dxfId="121" priority="2">
      <formula>E9="NO APLICA"</formula>
    </cfRule>
  </conditionalFormatting>
  <dataValidations count="5">
    <dataValidation type="whole" operator="greaterThanOrEqual" allowBlank="1" showErrorMessage="1" errorTitle="ERROR" error="Escriba un número igual o mayor que 0" promptTitle="ERROR" prompt="Escriba un número igual o mayor que 0" sqref="E18:H23">
      <formula1>0</formula1>
    </dataValidation>
    <dataValidation type="whole" operator="greaterThanOrEqual" allowBlank="1" showInputMessage="1" showErrorMessage="1" errorTitle="ERROR" error="Valor en PESOS (sin centavos)" sqref="F32:I50">
      <formula1>0</formula1>
    </dataValidation>
    <dataValidation type="textLength" allowBlank="1" showInputMessage="1" showErrorMessage="1" errorTitle="ERROR" error="Escriba POMCA, PMM o PMA" promptTitle="ESCRIBA" prompt="POMCA, PMA o PMM" sqref="E32:E50">
      <formula1>1</formula1>
      <formula2>5</formula2>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61" r:id="rId1"/>
  </hyperlinks>
  <pageMargins left="0.25" right="0.25" top="0.75" bottom="0.75" header="0.3" footer="0.3"/>
  <pageSetup paperSize="178" orientation="landscape" horizontalDpi="1200" verticalDpi="12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101"/>
  <sheetViews>
    <sheetView showGridLines="0" zoomScale="98" zoomScaleNormal="98" workbookViewId="0">
      <selection activeCell="G19" sqref="G19"/>
    </sheetView>
  </sheetViews>
  <sheetFormatPr baseColWidth="10" defaultRowHeight="15"/>
  <cols>
    <col min="1" max="1" width="1.85546875" customWidth="1"/>
    <col min="2" max="2" width="12.85546875" customWidth="1"/>
    <col min="3" max="3" width="5" style="86" bestFit="1" customWidth="1"/>
    <col min="4" max="4" width="34.85546875" customWidth="1"/>
    <col min="5" max="5" width="12.140625" customWidth="1"/>
    <col min="6" max="6" width="20.5703125" customWidth="1"/>
  </cols>
  <sheetData>
    <row r="1" spans="1:21" s="490" customFormat="1" ht="100.5" customHeight="1" thickBot="1">
      <c r="A1" s="1334"/>
      <c r="B1" s="1335"/>
      <c r="C1" s="1335"/>
      <c r="D1" s="1335"/>
      <c r="E1" s="1335"/>
      <c r="F1" s="1335"/>
      <c r="G1" s="1335"/>
      <c r="H1" s="1335"/>
      <c r="I1" s="1335"/>
      <c r="J1" s="1335"/>
      <c r="K1" s="1335"/>
      <c r="L1" s="1335"/>
      <c r="M1" s="1335"/>
      <c r="N1" s="1335"/>
      <c r="O1" s="1335"/>
      <c r="P1" s="1336"/>
      <c r="Q1" s="389"/>
      <c r="R1" s="389"/>
    </row>
    <row r="2" spans="1:21" s="491" customFormat="1" ht="16.5" thickBot="1">
      <c r="A2" s="1342" t="str">
        <f>'Datos Generales'!C5</f>
        <v>Corporación Autónoma Regional del Cesar – CORPOCESAR</v>
      </c>
      <c r="B2" s="1343"/>
      <c r="C2" s="1343"/>
      <c r="D2" s="1343"/>
      <c r="E2" s="1343"/>
      <c r="F2" s="1343"/>
      <c r="G2" s="1343"/>
      <c r="H2" s="1343"/>
      <c r="I2" s="1343"/>
      <c r="J2" s="1343"/>
      <c r="K2" s="1343"/>
      <c r="L2" s="1343"/>
      <c r="M2" s="1343"/>
      <c r="N2" s="1343"/>
      <c r="O2" s="1343"/>
      <c r="P2" s="1344"/>
      <c r="Q2" s="389"/>
      <c r="R2" s="389"/>
    </row>
    <row r="3" spans="1:21" s="491" customFormat="1" ht="16.5" thickBot="1">
      <c r="A3" s="1337" t="s">
        <v>1294</v>
      </c>
      <c r="B3" s="1338"/>
      <c r="C3" s="1338"/>
      <c r="D3" s="1338"/>
      <c r="E3" s="1338"/>
      <c r="F3" s="1338"/>
      <c r="G3" s="1338"/>
      <c r="H3" s="1338"/>
      <c r="I3" s="1338"/>
      <c r="J3" s="1338"/>
      <c r="K3" s="1338"/>
      <c r="L3" s="1338"/>
      <c r="M3" s="1338"/>
      <c r="N3" s="1338"/>
      <c r="O3" s="1338"/>
      <c r="P3" s="1339"/>
      <c r="Q3" s="389"/>
      <c r="R3" s="389"/>
    </row>
    <row r="4" spans="1:21" s="491" customFormat="1" ht="16.5" thickBot="1">
      <c r="A4" s="1340" t="s">
        <v>1293</v>
      </c>
      <c r="B4" s="1341"/>
      <c r="C4" s="1341"/>
      <c r="D4" s="1341"/>
      <c r="E4" s="498">
        <v>2022</v>
      </c>
      <c r="F4" s="498"/>
      <c r="G4" s="498"/>
      <c r="H4" s="498"/>
      <c r="I4" s="498"/>
      <c r="J4" s="498"/>
      <c r="K4" s="498"/>
      <c r="L4" s="499"/>
      <c r="M4" s="499"/>
      <c r="N4" s="499"/>
      <c r="O4" s="499"/>
      <c r="P4" s="500"/>
      <c r="Q4" s="389"/>
      <c r="R4" s="389"/>
    </row>
    <row r="5" spans="1:21" s="235" customFormat="1" ht="16.5" customHeight="1" thickBot="1">
      <c r="A5" s="1337" t="s">
        <v>280</v>
      </c>
      <c r="B5" s="1338"/>
      <c r="C5" s="1338"/>
      <c r="D5" s="1338"/>
      <c r="E5" s="1338"/>
      <c r="F5" s="1338"/>
      <c r="G5" s="1338"/>
      <c r="H5" s="1338"/>
      <c r="I5" s="1338"/>
      <c r="J5" s="1338"/>
      <c r="K5" s="1338"/>
      <c r="L5" s="1338"/>
      <c r="M5" s="1338"/>
      <c r="N5" s="1338"/>
      <c r="O5" s="1338"/>
      <c r="P5" s="1339"/>
    </row>
    <row r="6" spans="1:21">
      <c r="A6" s="235"/>
      <c r="B6" s="239" t="s">
        <v>1</v>
      </c>
      <c r="C6" s="240"/>
      <c r="D6" s="238"/>
      <c r="E6" s="248"/>
      <c r="F6" s="238" t="s">
        <v>128</v>
      </c>
      <c r="G6" s="238"/>
      <c r="H6" s="238"/>
      <c r="I6" s="238"/>
      <c r="J6" s="238"/>
      <c r="K6" s="238"/>
    </row>
    <row r="7" spans="1:21" ht="15.75" thickBot="1">
      <c r="A7" s="235"/>
      <c r="B7" s="241"/>
      <c r="C7" s="242"/>
      <c r="D7" s="238"/>
      <c r="E7" s="243"/>
      <c r="F7" s="238" t="s">
        <v>129</v>
      </c>
      <c r="G7" s="238"/>
      <c r="H7" s="238"/>
      <c r="I7" s="238"/>
      <c r="J7" s="238"/>
      <c r="K7" s="238"/>
    </row>
    <row r="8" spans="1:21" ht="15.75" thickBot="1">
      <c r="A8" s="235"/>
      <c r="B8" s="250" t="s">
        <v>1181</v>
      </c>
      <c r="C8" s="251">
        <v>2022</v>
      </c>
      <c r="D8" s="246">
        <v>1</v>
      </c>
      <c r="E8" s="253"/>
      <c r="F8" s="238" t="s">
        <v>130</v>
      </c>
      <c r="G8" s="238"/>
      <c r="H8" s="238"/>
      <c r="I8" s="238"/>
      <c r="J8" s="238"/>
      <c r="K8" s="238"/>
    </row>
    <row r="9" spans="1:21">
      <c r="A9" s="235"/>
      <c r="B9" s="462" t="s">
        <v>1182</v>
      </c>
      <c r="C9" s="254"/>
      <c r="D9" s="238"/>
      <c r="E9" s="238"/>
      <c r="F9" s="238"/>
      <c r="G9" s="238"/>
      <c r="H9" s="238"/>
      <c r="I9" s="238"/>
      <c r="J9" s="238"/>
      <c r="K9" s="238"/>
    </row>
    <row r="10" spans="1:21" s="389" customFormat="1" ht="15" customHeight="1">
      <c r="A10" s="235"/>
      <c r="B10" s="1392" t="s">
        <v>1236</v>
      </c>
      <c r="C10" s="1392"/>
      <c r="D10" s="1392"/>
      <c r="E10" s="468" t="s">
        <v>1233</v>
      </c>
      <c r="F10" s="1412" t="str">
        <f>'6POMCASejec'!F10</f>
        <v>Acuerdo 005 del 22 de mayo de 2020 (Por medio del cual se aprueba el Plan de Accion Institucional 2020 -2023)</v>
      </c>
      <c r="G10" s="1412"/>
      <c r="H10" s="1412"/>
      <c r="I10" s="1412"/>
      <c r="J10" s="1412"/>
      <c r="K10" s="1412"/>
      <c r="L10" s="1412"/>
      <c r="M10" s="1412"/>
      <c r="N10" s="1412"/>
      <c r="O10" s="1412"/>
      <c r="P10" s="1412"/>
      <c r="Q10" s="1412"/>
      <c r="R10" s="1412"/>
      <c r="S10" s="1145"/>
      <c r="T10" s="464"/>
      <c r="U10" s="464"/>
    </row>
    <row r="11" spans="1:21" s="389" customFormat="1" ht="14.45" customHeight="1">
      <c r="A11" s="235"/>
      <c r="B11" s="465"/>
      <c r="C11" s="466"/>
      <c r="D11" s="467" t="str">
        <f>IF(E10="SI APLICA","¿El indicador no se reporta por limitaciones de información disponible? ","")</f>
        <v xml:space="preserve">¿El indicador no se reporta por limitaciones de información disponible? </v>
      </c>
      <c r="E11" s="469" t="s">
        <v>1235</v>
      </c>
      <c r="F11" s="1412"/>
      <c r="G11" s="1412"/>
      <c r="H11" s="1412"/>
      <c r="I11" s="1412"/>
      <c r="J11" s="1412"/>
      <c r="K11" s="1412"/>
      <c r="L11" s="1412"/>
      <c r="M11" s="1412"/>
      <c r="N11" s="1412"/>
      <c r="O11" s="1412"/>
      <c r="P11" s="1412"/>
      <c r="Q11" s="1412"/>
      <c r="R11" s="1412"/>
      <c r="S11" s="1145"/>
    </row>
    <row r="12" spans="1:21" s="389" customFormat="1">
      <c r="A12" s="235"/>
      <c r="B12" s="462"/>
      <c r="C12" s="292"/>
      <c r="D12" s="467" t="str">
        <f>'6POMCASejec'!$D$12</f>
        <v xml:space="preserve">¿Qué programas o proyectos del Plan de Acción están asociados al indicador? </v>
      </c>
      <c r="E12" s="1395" t="s">
        <v>2124</v>
      </c>
      <c r="F12" s="1396"/>
      <c r="G12" s="1396"/>
      <c r="H12" s="1396"/>
      <c r="I12" s="1396"/>
      <c r="J12" s="1396"/>
      <c r="K12" s="1396"/>
      <c r="L12" s="1396"/>
      <c r="M12" s="1396"/>
      <c r="N12" s="1396"/>
      <c r="O12" s="1396"/>
      <c r="P12" s="1396"/>
      <c r="Q12" s="1396"/>
      <c r="R12" s="1397"/>
    </row>
    <row r="13" spans="1:21" s="389" customFormat="1" ht="21.95" customHeight="1">
      <c r="A13" s="235"/>
      <c r="B13" s="462"/>
      <c r="C13" s="292"/>
      <c r="D13" s="467" t="s">
        <v>1238</v>
      </c>
      <c r="E13" s="1395"/>
      <c r="F13" s="1396"/>
      <c r="G13" s="1396"/>
      <c r="H13" s="1396"/>
      <c r="I13" s="1396"/>
      <c r="J13" s="1396"/>
      <c r="K13" s="1396"/>
      <c r="L13" s="1396"/>
      <c r="M13" s="1396"/>
      <c r="N13" s="1396"/>
      <c r="O13" s="1396"/>
      <c r="P13" s="1396"/>
      <c r="Q13" s="1396"/>
      <c r="R13" s="1397"/>
    </row>
    <row r="14" spans="1:21" s="389" customFormat="1" ht="6.95" customHeight="1" thickBot="1">
      <c r="A14" s="235"/>
      <c r="B14" s="462"/>
      <c r="C14" s="254"/>
      <c r="D14" s="238"/>
      <c r="E14" s="238"/>
      <c r="F14" s="238"/>
      <c r="G14" s="238"/>
      <c r="H14" s="238"/>
      <c r="I14" s="238"/>
      <c r="J14" s="238"/>
      <c r="K14" s="238"/>
    </row>
    <row r="15" spans="1:21" ht="15.6" customHeight="1" thickTop="1" thickBot="1">
      <c r="A15" s="235"/>
      <c r="B15" s="1478" t="s">
        <v>2</v>
      </c>
      <c r="C15" s="257"/>
      <c r="D15" s="1378" t="s">
        <v>3</v>
      </c>
      <c r="E15" s="1379"/>
      <c r="F15" s="1379"/>
      <c r="G15" s="1379"/>
      <c r="H15" s="1379"/>
      <c r="I15" s="1380"/>
      <c r="J15" s="238"/>
      <c r="K15" s="238"/>
    </row>
    <row r="16" spans="1:21" ht="15.75" thickBot="1">
      <c r="A16" s="235"/>
      <c r="B16" s="1346"/>
      <c r="C16" s="261"/>
      <c r="D16" s="262" t="s">
        <v>150</v>
      </c>
      <c r="E16" s="269" t="s">
        <v>20</v>
      </c>
      <c r="F16" s="269" t="s">
        <v>21</v>
      </c>
      <c r="G16" s="269" t="s">
        <v>22</v>
      </c>
      <c r="H16" s="269" t="s">
        <v>23</v>
      </c>
      <c r="I16" s="329"/>
      <c r="J16" s="238"/>
      <c r="K16" s="238"/>
    </row>
    <row r="17" spans="1:11" ht="67.5" customHeight="1" thickBot="1">
      <c r="A17" s="235"/>
      <c r="B17" s="1346"/>
      <c r="C17" s="261"/>
      <c r="D17" s="330" t="s">
        <v>305</v>
      </c>
      <c r="E17" s="208">
        <v>25</v>
      </c>
      <c r="F17" s="208">
        <v>25</v>
      </c>
      <c r="G17" s="208">
        <v>25</v>
      </c>
      <c r="H17" s="208"/>
      <c r="I17" s="327"/>
      <c r="J17" s="238"/>
      <c r="K17" s="238"/>
    </row>
    <row r="18" spans="1:11" ht="60.75" thickBot="1">
      <c r="A18" s="235"/>
      <c r="B18" s="1346"/>
      <c r="C18" s="261"/>
      <c r="D18" s="330" t="s">
        <v>306</v>
      </c>
      <c r="E18" s="208">
        <v>25</v>
      </c>
      <c r="F18" s="208">
        <v>25</v>
      </c>
      <c r="G18" s="208">
        <v>25</v>
      </c>
      <c r="H18" s="208"/>
      <c r="I18" s="327"/>
      <c r="J18" s="238"/>
      <c r="K18" s="238"/>
    </row>
    <row r="19" spans="1:11" ht="60.75" thickBot="1">
      <c r="A19" s="235"/>
      <c r="B19" s="1346"/>
      <c r="C19" s="261"/>
      <c r="D19" s="330" t="s">
        <v>307</v>
      </c>
      <c r="E19" s="189">
        <f>IFERROR(E18/E17,"N.A.")</f>
        <v>1</v>
      </c>
      <c r="F19" s="189">
        <f>IFERROR(F18/F17,"N.A.")</f>
        <v>1</v>
      </c>
      <c r="G19" s="189">
        <f>IFERROR(G18/G17,"N.A.")</f>
        <v>1</v>
      </c>
      <c r="H19" s="189" t="str">
        <f>IFERROR(H18/H17,"N.A.")</f>
        <v>N.A.</v>
      </c>
      <c r="I19" s="293"/>
      <c r="J19" s="238"/>
      <c r="K19" s="238"/>
    </row>
    <row r="20" spans="1:11" ht="15.75" thickBot="1">
      <c r="A20" s="235"/>
      <c r="B20" s="1346"/>
      <c r="C20" s="265"/>
      <c r="D20" s="1351" t="s">
        <v>308</v>
      </c>
      <c r="E20" s="1352"/>
      <c r="F20" s="1352"/>
      <c r="G20" s="1352"/>
      <c r="H20" s="1352"/>
      <c r="I20" s="1353"/>
      <c r="J20" s="238"/>
      <c r="K20" s="238"/>
    </row>
    <row r="21" spans="1:11" ht="21" customHeight="1">
      <c r="A21" s="235"/>
      <c r="B21" s="325"/>
      <c r="C21" s="1470" t="s">
        <v>19</v>
      </c>
      <c r="D21" s="1472" t="s">
        <v>309</v>
      </c>
      <c r="E21" s="1476" t="s">
        <v>313</v>
      </c>
      <c r="F21" s="1476" t="s">
        <v>310</v>
      </c>
      <c r="G21" s="1476" t="s">
        <v>55</v>
      </c>
      <c r="H21" s="235"/>
      <c r="I21" s="263"/>
      <c r="J21" s="238"/>
      <c r="K21" s="238"/>
    </row>
    <row r="22" spans="1:11" ht="15.75" thickBot="1">
      <c r="A22" s="235"/>
      <c r="B22" s="325"/>
      <c r="C22" s="1471"/>
      <c r="D22" s="1473"/>
      <c r="E22" s="1477"/>
      <c r="F22" s="1477"/>
      <c r="G22" s="1477"/>
      <c r="H22" s="235"/>
      <c r="I22" s="263"/>
      <c r="J22" s="238"/>
      <c r="K22" s="238"/>
    </row>
    <row r="23" spans="1:11" s="192" customFormat="1" ht="168.75" thickBot="1">
      <c r="B23" s="219"/>
      <c r="C23" s="224">
        <v>1</v>
      </c>
      <c r="D23" s="30" t="s">
        <v>1382</v>
      </c>
      <c r="E23" s="7">
        <v>25</v>
      </c>
      <c r="F23" s="30" t="s">
        <v>1384</v>
      </c>
      <c r="G23" s="30"/>
      <c r="I23" s="20"/>
      <c r="J23" s="19"/>
      <c r="K23" s="19"/>
    </row>
    <row r="24" spans="1:11" s="192" customFormat="1" ht="168.75" thickBot="1">
      <c r="B24" s="219"/>
      <c r="C24" s="224">
        <v>2</v>
      </c>
      <c r="D24" s="30" t="s">
        <v>1383</v>
      </c>
      <c r="E24" s="7">
        <v>25</v>
      </c>
      <c r="F24" s="30" t="s">
        <v>1384</v>
      </c>
      <c r="G24" s="30"/>
      <c r="I24" s="20"/>
      <c r="J24" s="19"/>
      <c r="K24" s="19"/>
    </row>
    <row r="25" spans="1:11" s="192" customFormat="1" ht="15.75" hidden="1" thickBot="1">
      <c r="B25" s="219"/>
      <c r="C25" s="224">
        <v>3</v>
      </c>
      <c r="D25" s="31"/>
      <c r="E25" s="7"/>
      <c r="F25" s="30"/>
      <c r="G25" s="30"/>
      <c r="H25" s="337"/>
      <c r="I25" s="20"/>
      <c r="J25" s="19"/>
      <c r="K25" s="19"/>
    </row>
    <row r="26" spans="1:11" s="192" customFormat="1" ht="15.75" hidden="1" thickBot="1">
      <c r="B26" s="219"/>
      <c r="C26" s="224">
        <v>4</v>
      </c>
      <c r="D26" s="31"/>
      <c r="E26" s="7"/>
      <c r="F26" s="30"/>
      <c r="G26" s="30"/>
      <c r="H26" s="337"/>
      <c r="I26" s="20"/>
      <c r="J26" s="19"/>
      <c r="K26" s="19"/>
    </row>
    <row r="27" spans="1:11" s="192" customFormat="1" ht="15.75" hidden="1" thickBot="1">
      <c r="B27" s="219"/>
      <c r="C27" s="224">
        <v>5</v>
      </c>
      <c r="D27" s="31"/>
      <c r="E27" s="7"/>
      <c r="F27" s="30"/>
      <c r="G27" s="30"/>
      <c r="H27" s="337"/>
      <c r="I27" s="20"/>
      <c r="J27" s="19"/>
      <c r="K27" s="19"/>
    </row>
    <row r="28" spans="1:11" s="192" customFormat="1" ht="15.75" hidden="1" thickBot="1">
      <c r="B28" s="219"/>
      <c r="C28" s="224">
        <v>6</v>
      </c>
      <c r="D28" s="31"/>
      <c r="E28" s="7"/>
      <c r="F28" s="30"/>
      <c r="G28" s="30"/>
      <c r="H28" s="337"/>
      <c r="I28" s="20"/>
      <c r="J28" s="19"/>
      <c r="K28" s="19"/>
    </row>
    <row r="29" spans="1:11" s="192" customFormat="1" ht="15.75" hidden="1" thickBot="1">
      <c r="B29" s="219"/>
      <c r="C29" s="224">
        <v>7</v>
      </c>
      <c r="D29" s="31"/>
      <c r="E29" s="7"/>
      <c r="F29" s="30"/>
      <c r="G29" s="30"/>
      <c r="H29" s="337"/>
      <c r="I29" s="20"/>
      <c r="J29" s="19"/>
      <c r="K29" s="19"/>
    </row>
    <row r="30" spans="1:11" s="192" customFormat="1" ht="15.75" hidden="1" thickBot="1">
      <c r="B30" s="219"/>
      <c r="C30" s="224">
        <v>8</v>
      </c>
      <c r="D30" s="31"/>
      <c r="E30" s="7"/>
      <c r="F30" s="30"/>
      <c r="G30" s="30"/>
      <c r="H30" s="337"/>
      <c r="I30" s="20"/>
      <c r="J30" s="19"/>
      <c r="K30" s="19"/>
    </row>
    <row r="31" spans="1:11" s="192" customFormat="1" ht="15.75" hidden="1" thickBot="1">
      <c r="B31" s="219"/>
      <c r="C31" s="224">
        <v>9</v>
      </c>
      <c r="D31" s="31"/>
      <c r="E31" s="7"/>
      <c r="F31" s="30"/>
      <c r="G31" s="30"/>
      <c r="H31" s="337"/>
      <c r="I31" s="20"/>
      <c r="J31" s="19"/>
      <c r="K31" s="19"/>
    </row>
    <row r="32" spans="1:11" s="192" customFormat="1" ht="15.75" hidden="1" thickBot="1">
      <c r="B32" s="219"/>
      <c r="C32" s="224">
        <v>10</v>
      </c>
      <c r="D32" s="31"/>
      <c r="E32" s="7"/>
      <c r="F32" s="30"/>
      <c r="G32" s="30"/>
      <c r="H32" s="337"/>
      <c r="I32" s="20"/>
      <c r="J32" s="19"/>
      <c r="K32" s="19"/>
    </row>
    <row r="33" spans="1:11" s="192" customFormat="1" ht="15.75" hidden="1" thickBot="1">
      <c r="B33" s="219"/>
      <c r="C33" s="224">
        <v>11</v>
      </c>
      <c r="D33" s="31"/>
      <c r="E33" s="7"/>
      <c r="F33" s="30"/>
      <c r="G33" s="30"/>
      <c r="H33" s="337"/>
      <c r="I33" s="20"/>
      <c r="J33" s="19"/>
      <c r="K33" s="19"/>
    </row>
    <row r="34" spans="1:11" s="192" customFormat="1" ht="15.75" hidden="1" thickBot="1">
      <c r="B34" s="219"/>
      <c r="C34" s="224">
        <v>12</v>
      </c>
      <c r="D34" s="31"/>
      <c r="E34" s="7"/>
      <c r="F34" s="30"/>
      <c r="G34" s="30"/>
      <c r="H34" s="337"/>
      <c r="I34" s="20"/>
      <c r="J34" s="19"/>
      <c r="K34" s="19"/>
    </row>
    <row r="35" spans="1:11" s="192" customFormat="1" ht="15.75" hidden="1" thickBot="1">
      <c r="B35" s="219"/>
      <c r="C35" s="224">
        <v>13</v>
      </c>
      <c r="D35" s="31"/>
      <c r="E35" s="7"/>
      <c r="F35" s="30"/>
      <c r="G35" s="30"/>
      <c r="H35" s="337"/>
      <c r="I35" s="20"/>
      <c r="J35" s="19"/>
      <c r="K35" s="19"/>
    </row>
    <row r="36" spans="1:11" s="192" customFormat="1" ht="15.75" hidden="1" thickBot="1">
      <c r="B36" s="219"/>
      <c r="C36" s="224">
        <v>14</v>
      </c>
      <c r="D36" s="31"/>
      <c r="E36" s="7"/>
      <c r="F36" s="30"/>
      <c r="G36" s="30"/>
      <c r="H36" s="337"/>
      <c r="I36" s="20"/>
      <c r="J36" s="19"/>
      <c r="K36" s="19"/>
    </row>
    <row r="37" spans="1:11" s="192" customFormat="1" ht="15.75" hidden="1" thickBot="1">
      <c r="B37" s="219"/>
      <c r="C37" s="224">
        <v>15</v>
      </c>
      <c r="D37" s="31"/>
      <c r="E37" s="7"/>
      <c r="F37" s="30"/>
      <c r="G37" s="30"/>
      <c r="H37" s="337"/>
      <c r="I37" s="20"/>
      <c r="J37" s="19"/>
      <c r="K37" s="19"/>
    </row>
    <row r="38" spans="1:11" s="192" customFormat="1" ht="15.75" hidden="1" thickBot="1">
      <c r="B38" s="219"/>
      <c r="C38" s="224">
        <v>16</v>
      </c>
      <c r="D38" s="31"/>
      <c r="E38" s="7"/>
      <c r="F38" s="30"/>
      <c r="G38" s="30"/>
      <c r="H38" s="337"/>
      <c r="I38" s="20"/>
      <c r="J38" s="19"/>
      <c r="K38" s="19"/>
    </row>
    <row r="39" spans="1:11" s="192" customFormat="1" ht="15.75" hidden="1" thickBot="1">
      <c r="B39" s="219"/>
      <c r="C39" s="224">
        <v>17</v>
      </c>
      <c r="D39" s="31"/>
      <c r="E39" s="7"/>
      <c r="F39" s="30"/>
      <c r="G39" s="30"/>
      <c r="H39" s="337"/>
      <c r="I39" s="20"/>
      <c r="J39" s="19"/>
      <c r="K39" s="19"/>
    </row>
    <row r="40" spans="1:11" s="192" customFormat="1" ht="15.75" hidden="1" thickBot="1">
      <c r="B40" s="219"/>
      <c r="C40" s="224">
        <v>18</v>
      </c>
      <c r="D40" s="31"/>
      <c r="E40" s="7"/>
      <c r="F40" s="30"/>
      <c r="G40" s="30"/>
      <c r="H40" s="337"/>
      <c r="I40" s="20"/>
      <c r="J40" s="19"/>
      <c r="K40" s="19"/>
    </row>
    <row r="41" spans="1:11" s="192" customFormat="1" ht="15.75" hidden="1" thickBot="1">
      <c r="B41" s="219"/>
      <c r="C41" s="224">
        <v>19</v>
      </c>
      <c r="D41" s="31"/>
      <c r="E41" s="7"/>
      <c r="F41" s="30"/>
      <c r="G41" s="30"/>
      <c r="I41" s="20"/>
      <c r="J41" s="19"/>
      <c r="K41" s="19"/>
    </row>
    <row r="42" spans="1:11" s="192" customFormat="1" ht="15.75" hidden="1" thickBot="1">
      <c r="B42" s="220"/>
      <c r="C42" s="224">
        <v>20</v>
      </c>
      <c r="D42" s="31"/>
      <c r="E42" s="7"/>
      <c r="F42" s="30"/>
      <c r="G42" s="30"/>
      <c r="I42" s="194"/>
      <c r="J42" s="19"/>
      <c r="K42" s="19"/>
    </row>
    <row r="43" spans="1:11" ht="36" customHeight="1" thickBot="1">
      <c r="A43" s="235"/>
      <c r="B43" s="274" t="s">
        <v>34</v>
      </c>
      <c r="C43" s="275"/>
      <c r="D43" s="1378" t="s">
        <v>311</v>
      </c>
      <c r="E43" s="1379"/>
      <c r="F43" s="1379"/>
      <c r="G43" s="1379"/>
      <c r="H43" s="1379"/>
      <c r="I43" s="1380"/>
      <c r="J43" s="238"/>
      <c r="K43" s="238"/>
    </row>
    <row r="44" spans="1:11" ht="24.75" thickBot="1">
      <c r="A44" s="235"/>
      <c r="B44" s="274" t="s">
        <v>36</v>
      </c>
      <c r="C44" s="275"/>
      <c r="D44" s="1378" t="s">
        <v>278</v>
      </c>
      <c r="E44" s="1379"/>
      <c r="F44" s="1379"/>
      <c r="G44" s="1379"/>
      <c r="H44" s="1379"/>
      <c r="I44" s="1380"/>
      <c r="J44" s="238"/>
      <c r="K44" s="238"/>
    </row>
    <row r="45" spans="1:11" ht="15.75" thickBot="1">
      <c r="A45" s="235"/>
      <c r="B45" s="239"/>
      <c r="C45" s="240"/>
      <c r="D45" s="238"/>
      <c r="E45" s="238"/>
      <c r="F45" s="238"/>
      <c r="G45" s="238"/>
      <c r="H45" s="238"/>
      <c r="I45" s="238"/>
      <c r="J45" s="238"/>
      <c r="K45" s="238"/>
    </row>
    <row r="46" spans="1:11" ht="24" customHeight="1" thickBot="1">
      <c r="A46" s="235"/>
      <c r="B46" s="1366" t="s">
        <v>38</v>
      </c>
      <c r="C46" s="1367"/>
      <c r="D46" s="1367"/>
      <c r="E46" s="1368"/>
      <c r="F46" s="238"/>
      <c r="G46" s="238"/>
      <c r="H46" s="238"/>
      <c r="I46" s="238"/>
      <c r="J46" s="238"/>
      <c r="K46" s="238"/>
    </row>
    <row r="47" spans="1:11" ht="15.75" thickBot="1">
      <c r="A47" s="235"/>
      <c r="B47" s="1369">
        <v>1</v>
      </c>
      <c r="C47" s="261"/>
      <c r="D47" s="278" t="s">
        <v>39</v>
      </c>
      <c r="E47" s="31"/>
      <c r="F47" s="238"/>
      <c r="G47" s="238"/>
      <c r="H47" s="238"/>
      <c r="I47" s="238"/>
      <c r="J47" s="238"/>
      <c r="K47" s="238"/>
    </row>
    <row r="48" spans="1:11" ht="24.75" thickBot="1">
      <c r="A48" s="235"/>
      <c r="B48" s="1370"/>
      <c r="C48" s="261"/>
      <c r="D48" s="264" t="s">
        <v>40</v>
      </c>
      <c r="E48" s="554" t="s">
        <v>1385</v>
      </c>
      <c r="F48" s="238"/>
      <c r="G48" s="238"/>
      <c r="H48" s="238"/>
      <c r="I48" s="238"/>
      <c r="J48" s="238"/>
      <c r="K48" s="238"/>
    </row>
    <row r="49" spans="1:11" ht="24.75" thickBot="1">
      <c r="A49" s="235"/>
      <c r="B49" s="1370"/>
      <c r="C49" s="261"/>
      <c r="D49" s="264" t="s">
        <v>41</v>
      </c>
      <c r="E49" s="554" t="s">
        <v>1386</v>
      </c>
      <c r="F49" s="238"/>
      <c r="G49" s="238"/>
      <c r="H49" s="238"/>
      <c r="I49" s="238"/>
      <c r="J49" s="238"/>
      <c r="K49" s="238"/>
    </row>
    <row r="50" spans="1:11" ht="15.75" thickBot="1">
      <c r="A50" s="235"/>
      <c r="B50" s="1370"/>
      <c r="C50" s="261"/>
      <c r="D50" s="264" t="s">
        <v>42</v>
      </c>
      <c r="E50" s="554" t="s">
        <v>1387</v>
      </c>
      <c r="F50" s="238"/>
      <c r="G50" s="238"/>
      <c r="H50" s="238"/>
      <c r="I50" s="238"/>
      <c r="J50" s="238"/>
      <c r="K50" s="238"/>
    </row>
    <row r="51" spans="1:11" ht="45.75" thickBot="1">
      <c r="A51" s="235"/>
      <c r="B51" s="1370"/>
      <c r="C51" s="261"/>
      <c r="D51" s="264" t="s">
        <v>43</v>
      </c>
      <c r="E51" s="579" t="s">
        <v>1388</v>
      </c>
      <c r="F51" s="238"/>
      <c r="G51" s="238"/>
      <c r="H51" s="238"/>
      <c r="I51" s="238"/>
      <c r="J51" s="238"/>
      <c r="K51" s="238"/>
    </row>
    <row r="52" spans="1:11" ht="15.75" thickBot="1">
      <c r="A52" s="235"/>
      <c r="B52" s="1370"/>
      <c r="C52" s="261"/>
      <c r="D52" s="264" t="s">
        <v>44</v>
      </c>
      <c r="E52" s="554">
        <v>5748960</v>
      </c>
      <c r="F52" s="238"/>
      <c r="G52" s="238"/>
      <c r="H52" s="238"/>
      <c r="I52" s="238"/>
      <c r="J52" s="238"/>
      <c r="K52" s="238"/>
    </row>
    <row r="53" spans="1:11" ht="36.75" thickBot="1">
      <c r="A53" s="235"/>
      <c r="B53" s="1371"/>
      <c r="C53" s="271"/>
      <c r="D53" s="264" t="s">
        <v>45</v>
      </c>
      <c r="E53" s="554" t="s">
        <v>1389</v>
      </c>
      <c r="F53" s="238"/>
      <c r="G53" s="238"/>
      <c r="H53" s="238"/>
      <c r="I53" s="238"/>
      <c r="J53" s="238"/>
      <c r="K53" s="238"/>
    </row>
    <row r="54" spans="1:11">
      <c r="A54" s="235"/>
      <c r="B54" s="239"/>
      <c r="C54" s="240"/>
      <c r="D54" s="238"/>
      <c r="E54" s="238"/>
      <c r="F54" s="238"/>
      <c r="G54" s="238"/>
      <c r="H54" s="238"/>
      <c r="I54" s="238"/>
      <c r="J54" s="238"/>
      <c r="K54" s="238"/>
    </row>
    <row r="55" spans="1:11">
      <c r="A55" s="235"/>
      <c r="B55" s="1475" t="s">
        <v>46</v>
      </c>
      <c r="C55" s="1475"/>
      <c r="D55" s="1475"/>
      <c r="E55" s="1475"/>
      <c r="F55" s="238"/>
      <c r="G55" s="238"/>
      <c r="H55" s="238"/>
      <c r="I55" s="238"/>
      <c r="J55" s="238"/>
      <c r="K55" s="238"/>
    </row>
    <row r="56" spans="1:11" ht="60">
      <c r="A56" s="235"/>
      <c r="B56" s="1474">
        <v>1</v>
      </c>
      <c r="C56" s="1149"/>
      <c r="D56" s="1150" t="s">
        <v>39</v>
      </c>
      <c r="E56" s="1151" t="s">
        <v>47</v>
      </c>
      <c r="F56" s="238"/>
      <c r="G56" s="238"/>
      <c r="H56" s="238"/>
      <c r="I56" s="238"/>
      <c r="J56" s="238"/>
      <c r="K56" s="238"/>
    </row>
    <row r="57" spans="1:11" ht="84">
      <c r="A57" s="235"/>
      <c r="B57" s="1474"/>
      <c r="C57" s="1149"/>
      <c r="D57" s="1152" t="s">
        <v>40</v>
      </c>
      <c r="E57" s="1151" t="s">
        <v>48</v>
      </c>
      <c r="F57" s="238"/>
      <c r="G57" s="238"/>
      <c r="H57" s="238"/>
      <c r="I57" s="238"/>
      <c r="J57" s="238"/>
      <c r="K57" s="238"/>
    </row>
    <row r="58" spans="1:11">
      <c r="A58" s="235"/>
      <c r="B58" s="1474"/>
      <c r="C58" s="1149"/>
      <c r="D58" s="1152" t="s">
        <v>41</v>
      </c>
      <c r="E58" s="1153"/>
      <c r="F58" s="238"/>
      <c r="G58" s="238"/>
      <c r="H58" s="238"/>
      <c r="I58" s="238"/>
      <c r="J58" s="238"/>
      <c r="K58" s="238"/>
    </row>
    <row r="59" spans="1:11">
      <c r="A59" s="235"/>
      <c r="B59" s="1474"/>
      <c r="C59" s="1149"/>
      <c r="D59" s="1152" t="s">
        <v>42</v>
      </c>
      <c r="E59" s="1153"/>
      <c r="F59" s="238"/>
      <c r="G59" s="238"/>
      <c r="H59" s="238"/>
      <c r="I59" s="238"/>
      <c r="J59" s="238"/>
      <c r="K59" s="238"/>
    </row>
    <row r="60" spans="1:11">
      <c r="A60" s="235"/>
      <c r="B60" s="1474"/>
      <c r="C60" s="1149"/>
      <c r="D60" s="1152" t="s">
        <v>43</v>
      </c>
      <c r="E60" s="1153"/>
      <c r="F60" s="238"/>
      <c r="G60" s="238"/>
      <c r="H60" s="238"/>
      <c r="I60" s="238"/>
      <c r="J60" s="238"/>
      <c r="K60" s="238"/>
    </row>
    <row r="61" spans="1:11">
      <c r="A61" s="235"/>
      <c r="B61" s="1474"/>
      <c r="C61" s="1149"/>
      <c r="D61" s="1152" t="s">
        <v>44</v>
      </c>
      <c r="E61" s="1153"/>
      <c r="F61" s="238"/>
      <c r="G61" s="238"/>
      <c r="H61" s="238"/>
      <c r="I61" s="238"/>
      <c r="J61" s="238"/>
      <c r="K61" s="238"/>
    </row>
    <row r="62" spans="1:11">
      <c r="A62" s="235"/>
      <c r="B62" s="1474"/>
      <c r="C62" s="1149"/>
      <c r="D62" s="1152" t="s">
        <v>45</v>
      </c>
      <c r="E62" s="1153"/>
      <c r="F62" s="238"/>
      <c r="G62" s="238"/>
      <c r="H62" s="238"/>
      <c r="I62" s="238"/>
      <c r="J62" s="238"/>
      <c r="K62" s="238"/>
    </row>
    <row r="63" spans="1:11" ht="15.75" thickBot="1">
      <c r="A63" s="235"/>
      <c r="B63" s="239"/>
      <c r="C63" s="240"/>
      <c r="D63" s="238"/>
      <c r="E63" s="238"/>
      <c r="F63" s="238"/>
      <c r="G63" s="238"/>
      <c r="H63" s="238"/>
      <c r="I63" s="238"/>
      <c r="J63" s="238"/>
      <c r="K63" s="238"/>
    </row>
    <row r="64" spans="1:11" ht="15" customHeight="1" thickBot="1">
      <c r="A64" s="235"/>
      <c r="B64" s="280" t="s">
        <v>49</v>
      </c>
      <c r="C64" s="281"/>
      <c r="D64" s="281"/>
      <c r="E64" s="282"/>
      <c r="F64" s="235"/>
      <c r="G64" s="238"/>
      <c r="H64" s="238"/>
      <c r="I64" s="238"/>
      <c r="J64" s="238"/>
      <c r="K64" s="238"/>
    </row>
    <row r="65" spans="1:11" ht="24.75" thickBot="1">
      <c r="A65" s="235"/>
      <c r="B65" s="274" t="s">
        <v>50</v>
      </c>
      <c r="C65" s="264" t="s">
        <v>51</v>
      </c>
      <c r="D65" s="264" t="s">
        <v>52</v>
      </c>
      <c r="E65" s="264" t="s">
        <v>53</v>
      </c>
      <c r="F65" s="238"/>
      <c r="G65" s="238"/>
      <c r="H65" s="238"/>
      <c r="I65" s="238"/>
      <c r="J65" s="238"/>
      <c r="K65" s="235"/>
    </row>
    <row r="66" spans="1:11" ht="96.75" thickBot="1">
      <c r="A66" s="235"/>
      <c r="B66" s="284">
        <v>42401</v>
      </c>
      <c r="C66" s="264">
        <v>0.01</v>
      </c>
      <c r="D66" s="295" t="s">
        <v>312</v>
      </c>
      <c r="E66" s="264"/>
      <c r="F66" s="238"/>
      <c r="G66" s="238"/>
      <c r="H66" s="238"/>
      <c r="I66" s="238"/>
      <c r="J66" s="238"/>
      <c r="K66" s="235"/>
    </row>
    <row r="67" spans="1:11" ht="15.75" thickBot="1">
      <c r="A67" s="235"/>
      <c r="B67" s="296"/>
      <c r="C67" s="297"/>
      <c r="D67" s="238"/>
      <c r="E67" s="238"/>
      <c r="F67" s="238"/>
      <c r="G67" s="238"/>
      <c r="H67" s="238"/>
      <c r="I67" s="238"/>
      <c r="J67" s="238"/>
      <c r="K67" s="238"/>
    </row>
    <row r="68" spans="1:11">
      <c r="A68" s="235"/>
      <c r="B68" s="286" t="s">
        <v>55</v>
      </c>
      <c r="C68" s="287"/>
      <c r="D68" s="238"/>
      <c r="E68" s="238"/>
      <c r="F68" s="238"/>
      <c r="G68" s="238"/>
      <c r="H68" s="238"/>
      <c r="I68" s="238"/>
      <c r="J68" s="238"/>
      <c r="K68" s="238"/>
    </row>
    <row r="69" spans="1:11">
      <c r="A69" s="235"/>
      <c r="B69" s="1413"/>
      <c r="C69" s="1414"/>
      <c r="D69" s="1414"/>
      <c r="E69" s="1415"/>
      <c r="F69" s="238"/>
      <c r="G69" s="238"/>
      <c r="H69" s="238"/>
      <c r="I69" s="238"/>
      <c r="J69" s="238"/>
      <c r="K69" s="238"/>
    </row>
    <row r="70" spans="1:11" ht="15.75" thickBot="1">
      <c r="A70" s="235"/>
      <c r="B70" s="238"/>
      <c r="C70" s="254"/>
      <c r="D70" s="238"/>
      <c r="E70" s="238"/>
      <c r="F70" s="238"/>
      <c r="G70" s="238"/>
      <c r="H70" s="238"/>
      <c r="I70" s="238"/>
      <c r="J70" s="238"/>
      <c r="K70" s="238"/>
    </row>
    <row r="71" spans="1:11" ht="15.75" thickBot="1">
      <c r="A71" s="235"/>
      <c r="B71" s="1366" t="s">
        <v>56</v>
      </c>
      <c r="C71" s="1367"/>
      <c r="D71" s="1368"/>
      <c r="E71" s="238"/>
      <c r="F71" s="238"/>
      <c r="G71" s="238"/>
      <c r="H71" s="238"/>
      <c r="I71" s="238"/>
      <c r="J71" s="238"/>
      <c r="K71" s="238"/>
    </row>
    <row r="72" spans="1:11" ht="120.75" thickBot="1">
      <c r="A72" s="235"/>
      <c r="B72" s="274" t="s">
        <v>57</v>
      </c>
      <c r="C72" s="271"/>
      <c r="D72" s="264" t="s">
        <v>281</v>
      </c>
      <c r="E72" s="238"/>
      <c r="F72" s="238"/>
      <c r="G72" s="238"/>
      <c r="H72" s="238"/>
      <c r="I72" s="238"/>
      <c r="J72" s="238"/>
      <c r="K72" s="238"/>
    </row>
    <row r="73" spans="1:11">
      <c r="A73" s="235"/>
      <c r="B73" s="1369" t="s">
        <v>59</v>
      </c>
      <c r="C73" s="261"/>
      <c r="D73" s="300" t="s">
        <v>60</v>
      </c>
      <c r="E73" s="238"/>
      <c r="F73" s="238"/>
      <c r="G73" s="238"/>
      <c r="H73" s="238"/>
      <c r="I73" s="238"/>
      <c r="J73" s="238"/>
      <c r="K73" s="238"/>
    </row>
    <row r="74" spans="1:11" ht="96">
      <c r="A74" s="235"/>
      <c r="B74" s="1370"/>
      <c r="C74" s="261"/>
      <c r="D74" s="301" t="s">
        <v>282</v>
      </c>
      <c r="E74" s="238"/>
      <c r="F74" s="238"/>
      <c r="G74" s="238"/>
      <c r="H74" s="238"/>
      <c r="I74" s="238"/>
      <c r="J74" s="238"/>
      <c r="K74" s="238"/>
    </row>
    <row r="75" spans="1:11" ht="60">
      <c r="A75" s="235"/>
      <c r="B75" s="1370"/>
      <c r="C75" s="261"/>
      <c r="D75" s="301" t="s">
        <v>283</v>
      </c>
      <c r="E75" s="238"/>
      <c r="F75" s="238"/>
      <c r="G75" s="238"/>
      <c r="H75" s="238"/>
      <c r="I75" s="238"/>
      <c r="J75" s="238"/>
      <c r="K75" s="238"/>
    </row>
    <row r="76" spans="1:11">
      <c r="A76" s="235"/>
      <c r="B76" s="1370"/>
      <c r="C76" s="261"/>
      <c r="D76" s="300" t="s">
        <v>63</v>
      </c>
      <c r="E76" s="238"/>
      <c r="F76" s="238"/>
      <c r="G76" s="238"/>
      <c r="H76" s="238"/>
      <c r="I76" s="238"/>
      <c r="J76" s="238"/>
      <c r="K76" s="238"/>
    </row>
    <row r="77" spans="1:11" ht="24">
      <c r="A77" s="235"/>
      <c r="B77" s="1370"/>
      <c r="C77" s="261"/>
      <c r="D77" s="301" t="s">
        <v>284</v>
      </c>
      <c r="E77" s="238"/>
      <c r="F77" s="238"/>
      <c r="G77" s="238"/>
      <c r="H77" s="238"/>
      <c r="I77" s="238"/>
      <c r="J77" s="238"/>
      <c r="K77" s="238"/>
    </row>
    <row r="78" spans="1:11" ht="48">
      <c r="A78" s="235"/>
      <c r="B78" s="1370"/>
      <c r="C78" s="261"/>
      <c r="D78" s="301" t="s">
        <v>285</v>
      </c>
      <c r="E78" s="238"/>
      <c r="F78" s="238"/>
      <c r="G78" s="238"/>
      <c r="H78" s="238"/>
      <c r="I78" s="238"/>
      <c r="J78" s="238"/>
      <c r="K78" s="238"/>
    </row>
    <row r="79" spans="1:11">
      <c r="A79" s="235"/>
      <c r="B79" s="1370"/>
      <c r="C79" s="261"/>
      <c r="D79" s="301" t="s">
        <v>286</v>
      </c>
      <c r="E79" s="238"/>
      <c r="F79" s="238"/>
      <c r="G79" s="238"/>
      <c r="H79" s="238"/>
      <c r="I79" s="238"/>
      <c r="J79" s="238"/>
      <c r="K79" s="238"/>
    </row>
    <row r="80" spans="1:11" ht="36">
      <c r="A80" s="235"/>
      <c r="B80" s="1370"/>
      <c r="C80" s="261"/>
      <c r="D80" s="301" t="s">
        <v>287</v>
      </c>
      <c r="E80" s="238"/>
      <c r="F80" s="238"/>
      <c r="G80" s="238"/>
      <c r="H80" s="238"/>
      <c r="I80" s="238"/>
      <c r="J80" s="238"/>
      <c r="K80" s="238"/>
    </row>
    <row r="81" spans="1:11">
      <c r="A81" s="235"/>
      <c r="B81" s="1370"/>
      <c r="C81" s="261"/>
      <c r="D81" s="300" t="s">
        <v>288</v>
      </c>
      <c r="E81" s="238"/>
      <c r="F81" s="238"/>
      <c r="G81" s="238"/>
      <c r="H81" s="238"/>
      <c r="I81" s="238"/>
      <c r="J81" s="238"/>
      <c r="K81" s="238"/>
    </row>
    <row r="82" spans="1:11">
      <c r="A82" s="235"/>
      <c r="B82" s="1370"/>
      <c r="C82" s="261"/>
      <c r="D82" s="301" t="s">
        <v>289</v>
      </c>
      <c r="E82" s="238"/>
      <c r="F82" s="238"/>
      <c r="G82" s="238"/>
      <c r="H82" s="238"/>
      <c r="I82" s="238"/>
      <c r="J82" s="238"/>
      <c r="K82" s="238"/>
    </row>
    <row r="83" spans="1:11" ht="36">
      <c r="A83" s="235"/>
      <c r="B83" s="1370"/>
      <c r="C83" s="261"/>
      <c r="D83" s="301" t="s">
        <v>290</v>
      </c>
      <c r="E83" s="238"/>
      <c r="F83" s="238"/>
      <c r="G83" s="238"/>
      <c r="H83" s="238"/>
      <c r="I83" s="238"/>
      <c r="J83" s="238"/>
      <c r="K83" s="238"/>
    </row>
    <row r="84" spans="1:11" ht="45.75" thickBot="1">
      <c r="A84" s="235"/>
      <c r="B84" s="1371"/>
      <c r="C84" s="271"/>
      <c r="D84" s="333" t="s">
        <v>291</v>
      </c>
      <c r="E84" s="238"/>
      <c r="F84" s="238"/>
      <c r="G84" s="238"/>
      <c r="H84" s="238"/>
      <c r="I84" s="238"/>
      <c r="J84" s="238"/>
      <c r="K84" s="238"/>
    </row>
    <row r="85" spans="1:11" ht="24.75" thickBot="1">
      <c r="A85" s="235"/>
      <c r="B85" s="274" t="s">
        <v>72</v>
      </c>
      <c r="C85" s="271"/>
      <c r="D85" s="264"/>
      <c r="E85" s="238"/>
      <c r="F85" s="238"/>
      <c r="G85" s="238"/>
      <c r="H85" s="238"/>
      <c r="I85" s="238"/>
      <c r="J85" s="238"/>
      <c r="K85" s="238"/>
    </row>
    <row r="86" spans="1:11" ht="228">
      <c r="A86" s="235"/>
      <c r="B86" s="1369" t="s">
        <v>73</v>
      </c>
      <c r="C86" s="261"/>
      <c r="D86" s="301" t="s">
        <v>292</v>
      </c>
      <c r="E86" s="238"/>
      <c r="F86" s="238"/>
      <c r="G86" s="238"/>
      <c r="H86" s="238"/>
      <c r="I86" s="238"/>
      <c r="J86" s="238"/>
      <c r="K86" s="238"/>
    </row>
    <row r="87" spans="1:11" ht="180">
      <c r="A87" s="235"/>
      <c r="B87" s="1370"/>
      <c r="C87" s="261"/>
      <c r="D87" s="301" t="s">
        <v>293</v>
      </c>
      <c r="E87" s="238"/>
      <c r="F87" s="238"/>
      <c r="G87" s="238"/>
      <c r="H87" s="238"/>
      <c r="I87" s="238"/>
      <c r="J87" s="238"/>
      <c r="K87" s="238"/>
    </row>
    <row r="88" spans="1:11" ht="72">
      <c r="A88" s="235"/>
      <c r="B88" s="1370"/>
      <c r="C88" s="261"/>
      <c r="D88" s="301" t="s">
        <v>294</v>
      </c>
      <c r="E88" s="238"/>
      <c r="F88" s="238"/>
      <c r="G88" s="238"/>
      <c r="H88" s="238"/>
      <c r="I88" s="238"/>
      <c r="J88" s="238"/>
      <c r="K88" s="238"/>
    </row>
    <row r="89" spans="1:11" ht="24">
      <c r="A89" s="235"/>
      <c r="B89" s="1370"/>
      <c r="C89" s="261"/>
      <c r="D89" s="301" t="s">
        <v>295</v>
      </c>
      <c r="E89" s="238"/>
      <c r="F89" s="238"/>
      <c r="G89" s="238"/>
      <c r="H89" s="238"/>
      <c r="I89" s="238"/>
      <c r="J89" s="238"/>
      <c r="K89" s="238"/>
    </row>
    <row r="90" spans="1:11" ht="72">
      <c r="A90" s="235"/>
      <c r="B90" s="1370"/>
      <c r="C90" s="261"/>
      <c r="D90" s="334" t="s">
        <v>296</v>
      </c>
      <c r="E90" s="238"/>
      <c r="F90" s="238"/>
      <c r="G90" s="238"/>
      <c r="H90" s="238"/>
      <c r="I90" s="238"/>
      <c r="J90" s="238"/>
      <c r="K90" s="238"/>
    </row>
    <row r="91" spans="1:11" ht="84">
      <c r="A91" s="235"/>
      <c r="B91" s="1370"/>
      <c r="C91" s="261"/>
      <c r="D91" s="334" t="s">
        <v>297</v>
      </c>
      <c r="E91" s="238"/>
      <c r="F91" s="238"/>
      <c r="G91" s="238"/>
      <c r="H91" s="238"/>
      <c r="I91" s="238"/>
      <c r="J91" s="238"/>
      <c r="K91" s="238"/>
    </row>
    <row r="92" spans="1:11" ht="36">
      <c r="A92" s="235"/>
      <c r="B92" s="1370"/>
      <c r="C92" s="261"/>
      <c r="D92" s="334" t="s">
        <v>298</v>
      </c>
      <c r="E92" s="238"/>
      <c r="F92" s="238"/>
      <c r="G92" s="238"/>
      <c r="H92" s="238"/>
      <c r="I92" s="238"/>
      <c r="J92" s="238"/>
      <c r="K92" s="238"/>
    </row>
    <row r="93" spans="1:11" ht="36">
      <c r="A93" s="235"/>
      <c r="B93" s="1370"/>
      <c r="C93" s="261"/>
      <c r="D93" s="334" t="s">
        <v>299</v>
      </c>
      <c r="E93" s="238"/>
      <c r="F93" s="238"/>
      <c r="G93" s="238"/>
      <c r="H93" s="238"/>
      <c r="I93" s="238"/>
      <c r="J93" s="238"/>
      <c r="K93" s="238"/>
    </row>
    <row r="94" spans="1:11" ht="48">
      <c r="A94" s="235"/>
      <c r="B94" s="1370"/>
      <c r="C94" s="261"/>
      <c r="D94" s="334" t="s">
        <v>300</v>
      </c>
      <c r="E94" s="238"/>
      <c r="F94" s="238"/>
      <c r="G94" s="238"/>
      <c r="H94" s="238"/>
      <c r="I94" s="238"/>
      <c r="J94" s="238"/>
      <c r="K94" s="238"/>
    </row>
    <row r="95" spans="1:11" ht="60.75" thickBot="1">
      <c r="A95" s="235"/>
      <c r="B95" s="1371"/>
      <c r="C95" s="271"/>
      <c r="D95" s="335" t="s">
        <v>301</v>
      </c>
      <c r="E95" s="238"/>
      <c r="F95" s="238"/>
      <c r="G95" s="238"/>
      <c r="H95" s="238"/>
      <c r="I95" s="238"/>
      <c r="J95" s="238"/>
      <c r="K95" s="238"/>
    </row>
    <row r="96" spans="1:11">
      <c r="A96" s="235"/>
      <c r="B96" s="1369" t="s">
        <v>90</v>
      </c>
      <c r="C96" s="261"/>
      <c r="D96" s="301"/>
      <c r="E96" s="238"/>
      <c r="F96" s="238"/>
      <c r="G96" s="238"/>
      <c r="H96" s="238"/>
      <c r="I96" s="238"/>
      <c r="J96" s="238"/>
      <c r="K96" s="238"/>
    </row>
    <row r="97" spans="1:11">
      <c r="A97" s="235"/>
      <c r="B97" s="1370"/>
      <c r="C97" s="261"/>
      <c r="D97" s="302"/>
      <c r="E97" s="238"/>
      <c r="F97" s="238"/>
      <c r="G97" s="238"/>
      <c r="H97" s="238"/>
      <c r="I97" s="238"/>
      <c r="J97" s="238"/>
      <c r="K97" s="238"/>
    </row>
    <row r="98" spans="1:11">
      <c r="A98" s="235"/>
      <c r="B98" s="1370"/>
      <c r="C98" s="261"/>
      <c r="D98" s="301" t="s">
        <v>91</v>
      </c>
      <c r="E98" s="238"/>
      <c r="F98" s="238"/>
      <c r="G98" s="238"/>
      <c r="H98" s="238"/>
      <c r="I98" s="238"/>
      <c r="J98" s="238"/>
      <c r="K98" s="238"/>
    </row>
    <row r="99" spans="1:11" ht="61.5">
      <c r="A99" s="235"/>
      <c r="B99" s="1370"/>
      <c r="C99" s="261"/>
      <c r="D99" s="301" t="s">
        <v>302</v>
      </c>
      <c r="E99" s="238"/>
      <c r="F99" s="238"/>
      <c r="G99" s="238"/>
      <c r="H99" s="238"/>
      <c r="I99" s="238"/>
      <c r="J99" s="238"/>
      <c r="K99" s="238"/>
    </row>
    <row r="100" spans="1:11" ht="61.5">
      <c r="A100" s="235"/>
      <c r="B100" s="1370"/>
      <c r="C100" s="261"/>
      <c r="D100" s="301" t="s">
        <v>303</v>
      </c>
      <c r="E100" s="238"/>
      <c r="F100" s="238"/>
      <c r="G100" s="238"/>
      <c r="H100" s="238"/>
      <c r="I100" s="238"/>
      <c r="J100" s="238"/>
      <c r="K100" s="238"/>
    </row>
    <row r="101" spans="1:11" ht="62.25" thickBot="1">
      <c r="A101" s="235"/>
      <c r="B101" s="1371"/>
      <c r="C101" s="271"/>
      <c r="D101" s="264" t="s">
        <v>304</v>
      </c>
      <c r="E101" s="238"/>
      <c r="F101" s="238"/>
      <c r="G101" s="238"/>
      <c r="H101" s="238"/>
      <c r="I101" s="238"/>
      <c r="J101" s="238"/>
      <c r="K101" s="238"/>
    </row>
  </sheetData>
  <mergeCells count="29">
    <mergeCell ref="A1:P1"/>
    <mergeCell ref="A2:P2"/>
    <mergeCell ref="A3:P3"/>
    <mergeCell ref="A4:D4"/>
    <mergeCell ref="A5:P5"/>
    <mergeCell ref="D15:I15"/>
    <mergeCell ref="D20:I20"/>
    <mergeCell ref="D43:I43"/>
    <mergeCell ref="E21:E22"/>
    <mergeCell ref="B15:B20"/>
    <mergeCell ref="F21:F22"/>
    <mergeCell ref="G21:G22"/>
    <mergeCell ref="B71:D71"/>
    <mergeCell ref="B73:B84"/>
    <mergeCell ref="B86:B95"/>
    <mergeCell ref="B96:B101"/>
    <mergeCell ref="C21:C22"/>
    <mergeCell ref="D21:D22"/>
    <mergeCell ref="B56:B62"/>
    <mergeCell ref="B69:E69"/>
    <mergeCell ref="D44:I44"/>
    <mergeCell ref="B46:E46"/>
    <mergeCell ref="B47:B53"/>
    <mergeCell ref="B55:E55"/>
    <mergeCell ref="B10:D10"/>
    <mergeCell ref="E12:R12"/>
    <mergeCell ref="E13:R13"/>
    <mergeCell ref="F10:R10"/>
    <mergeCell ref="F11:R11"/>
  </mergeCells>
  <conditionalFormatting sqref="F11 S11">
    <cfRule type="expression" dxfId="120" priority="4">
      <formula>E11="NO SE REPORTA"</formula>
    </cfRule>
    <cfRule type="expression" dxfId="119" priority="5">
      <formula>E10="NO APLICA"</formula>
    </cfRule>
  </conditionalFormatting>
  <conditionalFormatting sqref="F10 S10">
    <cfRule type="expression" dxfId="118" priority="1">
      <formula>E10="NO SE REPORTA"</formula>
    </cfRule>
    <cfRule type="expression" dxfId="117" priority="2">
      <formula>E9="NO APLICA"</formula>
    </cfRule>
  </conditionalFormatting>
  <dataValidations count="3">
    <dataValidation type="whole" operator="greaterThanOrEqual" allowBlank="1" showErrorMessage="1" errorTitle="ERROR" error="Escriba un número igual o mayor que 0" promptTitle="ERROR" prompt="Escriba un número igual o mayor que 0" sqref="E17:H18 E23:E42">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D84" r:id="rId1" display="http://cambioclimatico.minambiente.gov.co/"/>
    <hyperlink ref="B9" location="'ANEXO 3'!A1" display="VOLVER AL INDICE"/>
    <hyperlink ref="E51" r:id="rId2"/>
  </hyperlinks>
  <pageMargins left="0.25" right="0.25" top="0.75" bottom="0.75" header="0.3" footer="0.3"/>
  <pageSetup paperSize="178" orientation="landscape" horizontalDpi="1200" verticalDpi="1200"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99"/>
  <sheetViews>
    <sheetView showGridLines="0" zoomScale="98" zoomScaleNormal="98" workbookViewId="0">
      <selection sqref="A1:P1"/>
    </sheetView>
  </sheetViews>
  <sheetFormatPr baseColWidth="10" defaultRowHeight="15"/>
  <cols>
    <col min="1" max="1" width="1.85546875" customWidth="1"/>
    <col min="2" max="2" width="12.85546875" customWidth="1"/>
    <col min="3" max="3" width="5" style="86" bestFit="1" customWidth="1"/>
    <col min="4" max="4" width="34.85546875" customWidth="1"/>
    <col min="5" max="5" width="18.42578125" customWidth="1"/>
    <col min="6" max="6" width="13.28515625" bestFit="1" customWidth="1"/>
    <col min="7" max="7" width="12.85546875" bestFit="1" customWidth="1"/>
    <col min="8" max="8" width="12" bestFit="1" customWidth="1"/>
    <col min="9" max="9" width="19.140625" customWidth="1"/>
    <col min="11" max="11" width="15.140625" customWidth="1"/>
  </cols>
  <sheetData>
    <row r="1" spans="1:20" s="490" customFormat="1" ht="100.5" customHeight="1" thickBot="1">
      <c r="A1" s="1334"/>
      <c r="B1" s="1335"/>
      <c r="C1" s="1335"/>
      <c r="D1" s="1335"/>
      <c r="E1" s="1335"/>
      <c r="F1" s="1335"/>
      <c r="G1" s="1335"/>
      <c r="H1" s="1335"/>
      <c r="I1" s="1335"/>
      <c r="J1" s="1335"/>
      <c r="K1" s="1335"/>
      <c r="L1" s="1335"/>
      <c r="M1" s="1335"/>
      <c r="N1" s="1335"/>
      <c r="O1" s="1335"/>
      <c r="P1" s="1336"/>
      <c r="Q1" s="389"/>
      <c r="R1" s="389"/>
    </row>
    <row r="2" spans="1:20" s="491" customFormat="1" ht="16.5" thickBot="1">
      <c r="A2" s="1342" t="str">
        <f>'Datos Generales'!C5</f>
        <v>Corporación Autónoma Regional del Cesar – CORPOCESAR</v>
      </c>
      <c r="B2" s="1343"/>
      <c r="C2" s="1343"/>
      <c r="D2" s="1343"/>
      <c r="E2" s="1343"/>
      <c r="F2" s="1343"/>
      <c r="G2" s="1343"/>
      <c r="H2" s="1343"/>
      <c r="I2" s="1343"/>
      <c r="J2" s="1343"/>
      <c r="K2" s="1343"/>
      <c r="L2" s="1343"/>
      <c r="M2" s="1343"/>
      <c r="N2" s="1343"/>
      <c r="O2" s="1343"/>
      <c r="P2" s="1344"/>
      <c r="Q2" s="389"/>
      <c r="R2" s="389"/>
    </row>
    <row r="3" spans="1:20" s="491" customFormat="1" ht="16.5" thickBot="1">
      <c r="A3" s="1337" t="s">
        <v>1294</v>
      </c>
      <c r="B3" s="1338"/>
      <c r="C3" s="1338"/>
      <c r="D3" s="1338"/>
      <c r="E3" s="1338"/>
      <c r="F3" s="1338"/>
      <c r="G3" s="1338"/>
      <c r="H3" s="1338"/>
      <c r="I3" s="1338"/>
      <c r="J3" s="1338"/>
      <c r="K3" s="1338"/>
      <c r="L3" s="1338"/>
      <c r="M3" s="1338"/>
      <c r="N3" s="1338"/>
      <c r="O3" s="1338"/>
      <c r="P3" s="1339"/>
      <c r="Q3" s="389"/>
      <c r="R3" s="389"/>
    </row>
    <row r="4" spans="1:20" s="491" customFormat="1" ht="16.5" thickBot="1">
      <c r="A4" s="1340" t="s">
        <v>1293</v>
      </c>
      <c r="B4" s="1341"/>
      <c r="C4" s="1341"/>
      <c r="D4" s="1341"/>
      <c r="E4" s="498">
        <v>2022</v>
      </c>
      <c r="F4" s="498"/>
      <c r="G4" s="498"/>
      <c r="H4" s="498"/>
      <c r="I4" s="498"/>
      <c r="J4" s="498"/>
      <c r="K4" s="498"/>
      <c r="L4" s="499"/>
      <c r="M4" s="499"/>
      <c r="N4" s="499"/>
      <c r="O4" s="499"/>
      <c r="P4" s="500"/>
      <c r="Q4" s="389"/>
      <c r="R4" s="389"/>
    </row>
    <row r="5" spans="1:20" s="235" customFormat="1" ht="16.5" customHeight="1" thickBot="1">
      <c r="A5" s="1337" t="s">
        <v>314</v>
      </c>
      <c r="B5" s="1338"/>
      <c r="C5" s="1338"/>
      <c r="D5" s="1338"/>
      <c r="E5" s="1338"/>
      <c r="F5" s="1338"/>
      <c r="G5" s="1338"/>
      <c r="H5" s="1338"/>
      <c r="I5" s="1338"/>
      <c r="J5" s="1338"/>
      <c r="K5" s="1338"/>
      <c r="L5" s="1338"/>
      <c r="M5" s="1338"/>
      <c r="N5" s="1338"/>
      <c r="O5" s="1338"/>
      <c r="P5" s="1339"/>
    </row>
    <row r="6" spans="1:20">
      <c r="A6" s="235"/>
      <c r="B6" s="239" t="s">
        <v>1</v>
      </c>
      <c r="C6" s="240"/>
      <c r="D6" s="238"/>
      <c r="E6" s="248"/>
      <c r="F6" s="238" t="s">
        <v>128</v>
      </c>
      <c r="G6" s="238"/>
      <c r="H6" s="238"/>
      <c r="I6" s="238"/>
      <c r="J6" s="238"/>
      <c r="K6" s="238"/>
    </row>
    <row r="7" spans="1:20" ht="15.75" thickBot="1">
      <c r="A7" s="235"/>
      <c r="B7" s="241"/>
      <c r="C7" s="242"/>
      <c r="D7" s="238"/>
      <c r="E7" s="243"/>
      <c r="F7" s="238" t="s">
        <v>129</v>
      </c>
      <c r="G7" s="238"/>
      <c r="H7" s="238"/>
      <c r="I7" s="238"/>
      <c r="J7" s="238"/>
      <c r="K7" s="238"/>
    </row>
    <row r="8" spans="1:20" ht="15.75" thickBot="1">
      <c r="A8" s="235"/>
      <c r="B8" s="250" t="s">
        <v>1181</v>
      </c>
      <c r="C8" s="251">
        <v>2022</v>
      </c>
      <c r="D8" s="246">
        <f>IF(E10="NO APLICA","NO APLICA",IF(E11="NO SE REPORTA","SIN INFORMACION",+G19))</f>
        <v>1</v>
      </c>
      <c r="E8" s="253"/>
      <c r="F8" s="238" t="s">
        <v>130</v>
      </c>
      <c r="G8" s="238"/>
      <c r="H8" s="238"/>
      <c r="I8" s="238"/>
      <c r="J8" s="238"/>
      <c r="K8" s="238"/>
    </row>
    <row r="9" spans="1:20">
      <c r="A9" s="235"/>
      <c r="B9" s="462" t="s">
        <v>1182</v>
      </c>
      <c r="C9" s="254"/>
      <c r="D9" s="238"/>
      <c r="E9" s="238"/>
      <c r="F9" s="238"/>
      <c r="G9" s="238"/>
      <c r="H9" s="238"/>
      <c r="I9" s="238"/>
      <c r="J9" s="238"/>
      <c r="K9" s="238"/>
    </row>
    <row r="10" spans="1:20" s="389" customFormat="1">
      <c r="A10" s="235"/>
      <c r="B10" s="1392" t="s">
        <v>1236</v>
      </c>
      <c r="C10" s="1392"/>
      <c r="D10" s="1392"/>
      <c r="E10" s="468" t="s">
        <v>1233</v>
      </c>
      <c r="F10" s="1412" t="str">
        <f>'7Clima'!F10</f>
        <v>Acuerdo 005 del 22 de mayo de 2020 (Por medio del cual se aprueba el Plan de Accion Institucional 2020 -2023)</v>
      </c>
      <c r="G10" s="1412"/>
      <c r="H10" s="1412"/>
      <c r="I10" s="1412"/>
      <c r="J10" s="1412"/>
      <c r="K10" s="1412"/>
      <c r="L10" s="1412"/>
      <c r="M10" s="1412"/>
      <c r="N10" s="1412"/>
      <c r="O10" s="1412"/>
      <c r="P10" s="1412"/>
      <c r="Q10" s="1412"/>
      <c r="R10" s="1412"/>
      <c r="S10" s="464"/>
      <c r="T10" s="464"/>
    </row>
    <row r="11" spans="1:20" s="389" customFormat="1" ht="14.45" customHeight="1">
      <c r="A11" s="235"/>
      <c r="B11" s="465"/>
      <c r="C11" s="466"/>
      <c r="D11" s="467" t="str">
        <f>IF(E10="SI APLICA","¿El indicador no se reporta por limitaciones de información disponible? ","")</f>
        <v xml:space="preserve">¿El indicador no se reporta por limitaciones de información disponible? </v>
      </c>
      <c r="E11" s="469" t="s">
        <v>1235</v>
      </c>
      <c r="F11" s="1412"/>
      <c r="G11" s="1412"/>
      <c r="H11" s="1412"/>
      <c r="I11" s="1412"/>
      <c r="J11" s="1412"/>
      <c r="K11" s="1412"/>
      <c r="L11" s="1412"/>
      <c r="M11" s="1412"/>
      <c r="N11" s="1412"/>
      <c r="O11" s="1412"/>
      <c r="P11" s="1412"/>
      <c r="Q11" s="1412"/>
      <c r="R11" s="1412"/>
    </row>
    <row r="12" spans="1:20" s="389" customFormat="1" ht="23.45" customHeight="1">
      <c r="A12" s="235"/>
      <c r="B12" s="462"/>
      <c r="C12" s="292"/>
      <c r="D12" s="467" t="str">
        <f>IF(E11="SI SE REPORTA","¿Qué programas o proyectos del Plan de Acción están asociados al indicador? ","")</f>
        <v xml:space="preserve">¿Qué programas o proyectos del Plan de Acción están asociados al indicador? </v>
      </c>
      <c r="E12" s="1430" t="s">
        <v>2110</v>
      </c>
      <c r="F12" s="1430"/>
      <c r="G12" s="1430"/>
      <c r="H12" s="1430"/>
      <c r="I12" s="1430"/>
      <c r="J12" s="1430"/>
      <c r="K12" s="1430"/>
      <c r="L12" s="1430"/>
      <c r="M12" s="1430"/>
      <c r="N12" s="1430"/>
      <c r="O12" s="1430"/>
      <c r="P12" s="1430"/>
      <c r="Q12" s="1430"/>
      <c r="R12" s="1430"/>
    </row>
    <row r="13" spans="1:20" s="389" customFormat="1" ht="21.95" customHeight="1">
      <c r="A13" s="235"/>
      <c r="B13" s="462"/>
      <c r="C13" s="292"/>
      <c r="D13" s="467" t="s">
        <v>1238</v>
      </c>
      <c r="E13" s="1395"/>
      <c r="F13" s="1396"/>
      <c r="G13" s="1396"/>
      <c r="H13" s="1396"/>
      <c r="I13" s="1396"/>
      <c r="J13" s="1396"/>
      <c r="K13" s="1396"/>
      <c r="L13" s="1396"/>
      <c r="M13" s="1396"/>
      <c r="N13" s="1396"/>
      <c r="O13" s="1396"/>
      <c r="P13" s="1396"/>
      <c r="Q13" s="1396"/>
      <c r="R13" s="1397"/>
    </row>
    <row r="14" spans="1:20" s="389" customFormat="1" ht="6.95" customHeight="1" thickBot="1">
      <c r="A14" s="235"/>
      <c r="B14" s="462"/>
      <c r="C14" s="254"/>
      <c r="D14" s="238"/>
      <c r="E14" s="238"/>
      <c r="F14" s="238"/>
      <c r="G14" s="238"/>
      <c r="H14" s="238"/>
      <c r="I14" s="238"/>
      <c r="J14" s="238"/>
      <c r="K14" s="238"/>
    </row>
    <row r="15" spans="1:20" ht="15.6" customHeight="1" thickTop="1" thickBot="1">
      <c r="A15" s="235"/>
      <c r="B15" s="1478" t="s">
        <v>2</v>
      </c>
      <c r="C15" s="257"/>
      <c r="D15" s="1351" t="s">
        <v>336</v>
      </c>
      <c r="E15" s="1352"/>
      <c r="F15" s="1352"/>
      <c r="G15" s="1352"/>
      <c r="H15" s="1352"/>
      <c r="I15" s="1352"/>
      <c r="J15" s="1352"/>
      <c r="K15" s="1353"/>
    </row>
    <row r="16" spans="1:20" ht="15.75" thickBot="1">
      <c r="A16" s="192"/>
      <c r="B16" s="1346"/>
      <c r="C16" s="268" t="s">
        <v>19</v>
      </c>
      <c r="D16" s="262" t="s">
        <v>1189</v>
      </c>
      <c r="E16" s="262" t="s">
        <v>20</v>
      </c>
      <c r="F16" s="262" t="s">
        <v>21</v>
      </c>
      <c r="G16" s="262" t="s">
        <v>22</v>
      </c>
      <c r="H16" s="262" t="s">
        <v>23</v>
      </c>
      <c r="I16" s="221"/>
      <c r="J16" s="192"/>
      <c r="K16" s="263"/>
    </row>
    <row r="17" spans="1:11" ht="24.75" thickBot="1">
      <c r="A17" s="235"/>
      <c r="B17" s="1346"/>
      <c r="C17" s="271" t="s">
        <v>152</v>
      </c>
      <c r="D17" s="264" t="s">
        <v>337</v>
      </c>
      <c r="E17" s="209">
        <v>0</v>
      </c>
      <c r="F17" s="209">
        <v>1</v>
      </c>
      <c r="G17" s="209">
        <v>2</v>
      </c>
      <c r="H17" s="209"/>
      <c r="I17" s="621"/>
      <c r="J17" s="192"/>
      <c r="K17" s="263"/>
    </row>
    <row r="18" spans="1:11" ht="43.5" customHeight="1" thickBot="1">
      <c r="A18" s="235"/>
      <c r="B18" s="1346"/>
      <c r="C18" s="271" t="s">
        <v>154</v>
      </c>
      <c r="D18" s="264" t="s">
        <v>338</v>
      </c>
      <c r="E18" s="209">
        <v>0</v>
      </c>
      <c r="F18" s="1182">
        <v>1</v>
      </c>
      <c r="G18" s="209">
        <v>2</v>
      </c>
      <c r="H18" s="209"/>
      <c r="I18" s="1186"/>
      <c r="J18" s="192"/>
      <c r="K18" s="263"/>
    </row>
    <row r="19" spans="1:11" ht="24.75" thickBot="1">
      <c r="A19" s="235"/>
      <c r="B19" s="1346"/>
      <c r="C19" s="271" t="s">
        <v>156</v>
      </c>
      <c r="D19" s="264" t="s">
        <v>339</v>
      </c>
      <c r="E19" s="189" t="str">
        <f>IFERROR(E18/E17,"N.A.")</f>
        <v>N.A.</v>
      </c>
      <c r="F19" s="189">
        <f>IFERROR(F18/F17,"N.A.")</f>
        <v>1</v>
      </c>
      <c r="G19" s="189">
        <f>IFERROR(G18/G17,"N.A.")</f>
        <v>1</v>
      </c>
      <c r="H19" s="189" t="str">
        <f>IFERROR(H18/H17,"N.A.")</f>
        <v>N.A.</v>
      </c>
      <c r="I19" s="189"/>
      <c r="J19" s="235"/>
      <c r="K19" s="263"/>
    </row>
    <row r="20" spans="1:11">
      <c r="A20" s="235"/>
      <c r="B20" s="325"/>
      <c r="C20" s="265"/>
      <c r="D20" s="1479" t="s">
        <v>1188</v>
      </c>
      <c r="E20" s="1480"/>
      <c r="F20" s="1480"/>
      <c r="G20" s="1480"/>
      <c r="H20" s="1480"/>
      <c r="I20" s="1480"/>
      <c r="J20" s="1480"/>
      <c r="K20" s="1481"/>
    </row>
    <row r="21" spans="1:11">
      <c r="A21" s="235"/>
      <c r="B21" s="325"/>
      <c r="C21" s="265"/>
      <c r="D21" s="1354" t="s">
        <v>246</v>
      </c>
      <c r="E21" s="1403"/>
      <c r="F21" s="1403"/>
      <c r="G21" s="1403"/>
      <c r="H21" s="1403"/>
      <c r="I21" s="1403"/>
      <c r="J21" s="1403"/>
      <c r="K21" s="1356"/>
    </row>
    <row r="22" spans="1:11">
      <c r="A22" s="235"/>
      <c r="B22" s="325"/>
      <c r="C22" s="265"/>
      <c r="D22" s="1354" t="s">
        <v>333</v>
      </c>
      <c r="E22" s="1403"/>
      <c r="F22" s="1403"/>
      <c r="G22" s="1403"/>
      <c r="H22" s="1403"/>
      <c r="I22" s="1403"/>
      <c r="J22" s="1403"/>
      <c r="K22" s="1356"/>
    </row>
    <row r="23" spans="1:11" ht="15.75" thickBot="1">
      <c r="A23" s="235"/>
      <c r="B23" s="325"/>
      <c r="C23" s="265"/>
      <c r="D23" s="1381" t="s">
        <v>340</v>
      </c>
      <c r="E23" s="1382"/>
      <c r="F23" s="1382"/>
      <c r="G23" s="1382"/>
      <c r="H23" s="1382"/>
      <c r="I23" s="1382"/>
      <c r="J23" s="1382"/>
      <c r="K23" s="1383"/>
    </row>
    <row r="24" spans="1:11" ht="36.75" thickBot="1">
      <c r="A24" s="235"/>
      <c r="B24" s="325"/>
      <c r="C24" s="268" t="s">
        <v>19</v>
      </c>
      <c r="D24" s="262" t="s">
        <v>270</v>
      </c>
      <c r="E24" s="262" t="s">
        <v>341</v>
      </c>
      <c r="F24" s="262" t="s">
        <v>342</v>
      </c>
      <c r="G24" s="262" t="s">
        <v>343</v>
      </c>
      <c r="H24" s="262" t="s">
        <v>344</v>
      </c>
      <c r="I24" s="262" t="s">
        <v>274</v>
      </c>
      <c r="J24" s="262" t="s">
        <v>275</v>
      </c>
      <c r="K24" s="408" t="s">
        <v>55</v>
      </c>
    </row>
    <row r="25" spans="1:11" s="192" customFormat="1" ht="48.75" thickBot="1">
      <c r="B25" s="219"/>
      <c r="C25" s="224">
        <v>1</v>
      </c>
      <c r="D25" s="1170" t="s">
        <v>1600</v>
      </c>
      <c r="E25" s="447" t="s">
        <v>2169</v>
      </c>
      <c r="F25" s="209">
        <v>2</v>
      </c>
      <c r="G25" s="209">
        <v>400000000</v>
      </c>
      <c r="H25" s="209">
        <v>400000000</v>
      </c>
      <c r="I25" s="209">
        <v>396862738</v>
      </c>
      <c r="J25" s="209">
        <v>172128605</v>
      </c>
      <c r="K25" s="209"/>
    </row>
    <row r="26" spans="1:11" s="192" customFormat="1" ht="15.75" hidden="1" thickBot="1">
      <c r="B26" s="219"/>
      <c r="C26" s="224">
        <v>2</v>
      </c>
      <c r="D26" s="31"/>
      <c r="E26" s="31" t="s">
        <v>1605</v>
      </c>
      <c r="F26" s="209"/>
      <c r="G26" s="209"/>
      <c r="H26" s="209"/>
      <c r="I26" s="209"/>
      <c r="J26" s="209"/>
      <c r="K26" s="209"/>
    </row>
    <row r="27" spans="1:11" s="192" customFormat="1" ht="15.75" hidden="1" thickBot="1">
      <c r="B27" s="219"/>
      <c r="C27" s="224">
        <v>3</v>
      </c>
      <c r="D27" s="31"/>
      <c r="E27" s="31" t="s">
        <v>1608</v>
      </c>
      <c r="F27" s="209"/>
      <c r="G27" s="209"/>
      <c r="H27" s="209"/>
      <c r="I27" s="209"/>
      <c r="J27" s="209"/>
      <c r="K27" s="209"/>
    </row>
    <row r="28" spans="1:11" s="192" customFormat="1" ht="15.75" hidden="1" thickBot="1">
      <c r="B28" s="219"/>
      <c r="C28" s="224">
        <v>4</v>
      </c>
      <c r="D28" s="31"/>
      <c r="E28" s="31" t="s">
        <v>1612</v>
      </c>
      <c r="F28" s="209"/>
      <c r="G28" s="209"/>
      <c r="H28" s="209"/>
      <c r="I28" s="209"/>
      <c r="J28" s="209"/>
      <c r="K28" s="209"/>
    </row>
    <row r="29" spans="1:11" s="192" customFormat="1" ht="15.75" hidden="1" thickBot="1">
      <c r="B29" s="219"/>
      <c r="C29" s="224">
        <v>5</v>
      </c>
      <c r="D29" s="31"/>
      <c r="E29" s="31" t="s">
        <v>1615</v>
      </c>
      <c r="F29" s="209"/>
      <c r="G29" s="209"/>
      <c r="H29" s="209"/>
      <c r="I29" s="209"/>
      <c r="J29" s="209"/>
      <c r="K29" s="209"/>
    </row>
    <row r="30" spans="1:11" s="192" customFormat="1" ht="15.75" hidden="1" thickBot="1">
      <c r="B30" s="219"/>
      <c r="C30" s="224">
        <v>6</v>
      </c>
      <c r="D30" s="31"/>
      <c r="E30" s="31"/>
      <c r="F30" s="209"/>
      <c r="G30" s="209"/>
      <c r="H30" s="209"/>
      <c r="I30" s="209"/>
      <c r="J30" s="209"/>
      <c r="K30" s="209"/>
    </row>
    <row r="31" spans="1:11" s="192" customFormat="1" ht="15.75" hidden="1" thickBot="1">
      <c r="B31" s="219"/>
      <c r="C31" s="224">
        <v>7</v>
      </c>
      <c r="D31" s="31"/>
      <c r="E31" s="31"/>
      <c r="F31" s="209"/>
      <c r="G31" s="209"/>
      <c r="H31" s="209"/>
      <c r="I31" s="209"/>
      <c r="J31" s="209"/>
      <c r="K31" s="209"/>
    </row>
    <row r="32" spans="1:11" s="192" customFormat="1" ht="15.75" hidden="1" thickBot="1">
      <c r="B32" s="219"/>
      <c r="C32" s="224">
        <v>8</v>
      </c>
      <c r="D32" s="31"/>
      <c r="E32" s="31"/>
      <c r="F32" s="209"/>
      <c r="G32" s="209"/>
      <c r="H32" s="209"/>
      <c r="I32" s="209"/>
      <c r="J32" s="209"/>
      <c r="K32" s="209"/>
    </row>
    <row r="33" spans="1:11" s="192" customFormat="1" ht="15.75" hidden="1" thickBot="1">
      <c r="B33" s="219"/>
      <c r="C33" s="224">
        <v>9</v>
      </c>
      <c r="D33" s="31"/>
      <c r="E33" s="31"/>
      <c r="F33" s="209"/>
      <c r="G33" s="209"/>
      <c r="H33" s="209"/>
      <c r="I33" s="209"/>
      <c r="J33" s="209"/>
      <c r="K33" s="209"/>
    </row>
    <row r="34" spans="1:11" s="192" customFormat="1" ht="15.75" hidden="1" thickBot="1">
      <c r="B34" s="219"/>
      <c r="C34" s="224">
        <v>10</v>
      </c>
      <c r="D34" s="31"/>
      <c r="E34" s="31"/>
      <c r="F34" s="209"/>
      <c r="G34" s="209"/>
      <c r="H34" s="209"/>
      <c r="I34" s="209"/>
      <c r="J34" s="209"/>
      <c r="K34" s="209"/>
    </row>
    <row r="35" spans="1:11" s="192" customFormat="1" ht="14.25" hidden="1" customHeight="1" thickBot="1">
      <c r="B35" s="219"/>
      <c r="C35" s="224">
        <v>11</v>
      </c>
      <c r="D35" s="31"/>
      <c r="E35" s="31"/>
      <c r="F35" s="209"/>
      <c r="G35" s="209"/>
      <c r="H35" s="209"/>
      <c r="I35" s="209"/>
      <c r="J35" s="209"/>
      <c r="K35" s="209"/>
    </row>
    <row r="36" spans="1:11" s="192" customFormat="1" ht="15.75" hidden="1" thickBot="1">
      <c r="B36" s="219"/>
      <c r="C36" s="224"/>
      <c r="D36" s="554"/>
      <c r="E36" s="31"/>
      <c r="F36" s="209"/>
      <c r="G36" s="209"/>
      <c r="H36" s="209"/>
      <c r="I36" s="209"/>
      <c r="J36" s="209"/>
      <c r="K36" s="209"/>
    </row>
    <row r="37" spans="1:11" ht="15.75" thickBot="1">
      <c r="A37" s="235"/>
      <c r="B37" s="274"/>
      <c r="C37" s="271"/>
      <c r="D37" s="264" t="s">
        <v>151</v>
      </c>
      <c r="E37" s="264"/>
      <c r="F37" s="338">
        <f>SUM(F25:F36)</f>
        <v>2</v>
      </c>
      <c r="G37" s="338">
        <f>SUM(G25:G36)</f>
        <v>400000000</v>
      </c>
      <c r="H37" s="338">
        <f>SUM(H25:H36)</f>
        <v>400000000</v>
      </c>
      <c r="I37" s="338">
        <f>SUM(I25:I36)</f>
        <v>396862738</v>
      </c>
      <c r="J37" s="338">
        <f>SUM(J25:J36)</f>
        <v>172128605</v>
      </c>
      <c r="K37" s="339"/>
    </row>
    <row r="38" spans="1:11" ht="24" customHeight="1" thickBot="1">
      <c r="A38" s="235"/>
      <c r="B38" s="340" t="s">
        <v>34</v>
      </c>
      <c r="C38" s="341"/>
      <c r="D38" s="1378" t="s">
        <v>345</v>
      </c>
      <c r="E38" s="1379"/>
      <c r="F38" s="1379"/>
      <c r="G38" s="1379"/>
      <c r="H38" s="1379"/>
      <c r="I38" s="1379"/>
      <c r="J38" s="1379"/>
      <c r="K38" s="1380"/>
    </row>
    <row r="39" spans="1:11" ht="24" customHeight="1" thickBot="1">
      <c r="A39" s="235"/>
      <c r="B39" s="340" t="s">
        <v>36</v>
      </c>
      <c r="C39" s="341"/>
      <c r="D39" s="1378" t="s">
        <v>346</v>
      </c>
      <c r="E39" s="1379"/>
      <c r="F39" s="1379"/>
      <c r="G39" s="1379"/>
      <c r="H39" s="1379"/>
      <c r="I39" s="1379"/>
      <c r="J39" s="1379"/>
      <c r="K39" s="1380"/>
    </row>
    <row r="40" spans="1:11" ht="15.75" thickBot="1">
      <c r="A40" s="235"/>
      <c r="B40" s="239"/>
      <c r="C40" s="240"/>
      <c r="D40" s="238"/>
      <c r="E40" s="238"/>
      <c r="F40" s="238"/>
      <c r="G40" s="238"/>
      <c r="H40" s="238"/>
      <c r="I40" s="238"/>
      <c r="J40" s="238"/>
      <c r="K40" s="238"/>
    </row>
    <row r="41" spans="1:11" ht="24" customHeight="1" thickBot="1">
      <c r="A41" s="235"/>
      <c r="B41" s="1366" t="s">
        <v>38</v>
      </c>
      <c r="C41" s="1367"/>
      <c r="D41" s="1367"/>
      <c r="E41" s="1368"/>
      <c r="F41" s="238"/>
      <c r="G41" s="238"/>
      <c r="H41" s="238"/>
      <c r="I41" s="238"/>
      <c r="J41" s="238"/>
      <c r="K41" s="238"/>
    </row>
    <row r="42" spans="1:11" ht="36.75" thickBot="1">
      <c r="A42" s="235"/>
      <c r="B42" s="1369">
        <v>1</v>
      </c>
      <c r="C42" s="261"/>
      <c r="D42" s="278" t="s">
        <v>39</v>
      </c>
      <c r="E42" s="554" t="s">
        <v>1421</v>
      </c>
      <c r="F42" s="238"/>
      <c r="G42" s="238"/>
      <c r="H42" s="238"/>
      <c r="I42" s="238"/>
      <c r="J42" s="238"/>
      <c r="K42" s="238"/>
    </row>
    <row r="43" spans="1:11" ht="24.75" thickBot="1">
      <c r="A43" s="235"/>
      <c r="B43" s="1370"/>
      <c r="C43" s="261"/>
      <c r="D43" s="264" t="s">
        <v>40</v>
      </c>
      <c r="E43" s="554" t="s">
        <v>1363</v>
      </c>
      <c r="F43" s="238"/>
      <c r="G43" s="238"/>
      <c r="H43" s="238"/>
      <c r="I43" s="238"/>
      <c r="J43" s="238"/>
      <c r="K43" s="238"/>
    </row>
    <row r="44" spans="1:11" ht="15.75" thickBot="1">
      <c r="A44" s="235"/>
      <c r="B44" s="1370"/>
      <c r="C44" s="261"/>
      <c r="D44" s="264" t="s">
        <v>41</v>
      </c>
      <c r="E44" s="554" t="s">
        <v>1476</v>
      </c>
      <c r="F44" s="238"/>
      <c r="G44" s="238"/>
      <c r="H44" s="238"/>
      <c r="I44" s="238"/>
      <c r="J44" s="238"/>
      <c r="K44" s="238"/>
    </row>
    <row r="45" spans="1:11" ht="15.75" thickBot="1">
      <c r="A45" s="235"/>
      <c r="B45" s="1370"/>
      <c r="C45" s="261"/>
      <c r="D45" s="264" t="s">
        <v>42</v>
      </c>
      <c r="E45" s="554" t="s">
        <v>1390</v>
      </c>
      <c r="F45" s="238"/>
      <c r="G45" s="238"/>
      <c r="H45" s="238"/>
      <c r="I45" s="238"/>
      <c r="J45" s="238"/>
      <c r="K45" s="238"/>
    </row>
    <row r="46" spans="1:11" ht="45.75" thickBot="1">
      <c r="A46" s="235"/>
      <c r="B46" s="1370"/>
      <c r="C46" s="261"/>
      <c r="D46" s="264" t="s">
        <v>43</v>
      </c>
      <c r="E46" s="579" t="s">
        <v>1391</v>
      </c>
      <c r="F46" s="238"/>
      <c r="G46" s="238"/>
      <c r="H46" s="238"/>
      <c r="I46" s="238"/>
      <c r="J46" s="238"/>
      <c r="K46" s="238"/>
    </row>
    <row r="47" spans="1:11" ht="15.75" thickBot="1">
      <c r="A47" s="235"/>
      <c r="B47" s="1370"/>
      <c r="C47" s="261"/>
      <c r="D47" s="264" t="s">
        <v>44</v>
      </c>
      <c r="E47" s="554">
        <v>5748960</v>
      </c>
      <c r="F47" s="238"/>
      <c r="G47" s="238"/>
      <c r="H47" s="238"/>
      <c r="I47" s="238"/>
      <c r="J47" s="238"/>
      <c r="K47" s="238"/>
    </row>
    <row r="48" spans="1:11" ht="24.75" thickBot="1">
      <c r="A48" s="235"/>
      <c r="B48" s="1371"/>
      <c r="C48" s="271"/>
      <c r="D48" s="264" t="s">
        <v>45</v>
      </c>
      <c r="E48" s="554" t="s">
        <v>1379</v>
      </c>
      <c r="F48" s="238"/>
      <c r="G48" s="238"/>
      <c r="H48" s="238"/>
      <c r="I48" s="238"/>
      <c r="J48" s="238"/>
      <c r="K48" s="238"/>
    </row>
    <row r="49" spans="1:11">
      <c r="A49" s="235"/>
      <c r="B49" s="239"/>
      <c r="C49" s="240"/>
      <c r="D49" s="238"/>
      <c r="E49" s="238"/>
      <c r="F49" s="238"/>
      <c r="G49" s="238"/>
      <c r="H49" s="238"/>
      <c r="I49" s="238"/>
      <c r="J49" s="238"/>
      <c r="K49" s="238"/>
    </row>
    <row r="50" spans="1:11">
      <c r="A50" s="235"/>
      <c r="B50" s="1483" t="s">
        <v>46</v>
      </c>
      <c r="C50" s="1483"/>
      <c r="D50" s="1483"/>
      <c r="E50" s="1483"/>
      <c r="F50" s="238"/>
      <c r="G50" s="238"/>
      <c r="H50" s="238"/>
      <c r="I50" s="238"/>
      <c r="J50" s="238"/>
      <c r="K50" s="238"/>
    </row>
    <row r="51" spans="1:11" ht="48">
      <c r="A51" s="235"/>
      <c r="B51" s="1482">
        <v>1</v>
      </c>
      <c r="C51" s="1155"/>
      <c r="D51" s="1156" t="s">
        <v>39</v>
      </c>
      <c r="E51" s="1151" t="s">
        <v>47</v>
      </c>
      <c r="F51" s="238"/>
      <c r="G51" s="238"/>
      <c r="H51" s="238"/>
      <c r="I51" s="238"/>
      <c r="J51" s="238"/>
      <c r="K51" s="238"/>
    </row>
    <row r="52" spans="1:11" ht="72">
      <c r="A52" s="235"/>
      <c r="B52" s="1482"/>
      <c r="C52" s="1155"/>
      <c r="D52" s="1157" t="s">
        <v>40</v>
      </c>
      <c r="E52" s="1151" t="s">
        <v>160</v>
      </c>
      <c r="F52" s="238"/>
      <c r="G52" s="238"/>
      <c r="H52" s="238"/>
      <c r="I52" s="238"/>
      <c r="J52" s="238"/>
      <c r="K52" s="238"/>
    </row>
    <row r="53" spans="1:11">
      <c r="A53" s="235"/>
      <c r="B53" s="1482"/>
      <c r="C53" s="1155"/>
      <c r="D53" s="1157" t="s">
        <v>41</v>
      </c>
      <c r="E53" s="1153"/>
      <c r="F53" s="238"/>
      <c r="G53" s="238"/>
      <c r="H53" s="238"/>
      <c r="I53" s="238"/>
      <c r="J53" s="238"/>
      <c r="K53" s="238"/>
    </row>
    <row r="54" spans="1:11">
      <c r="A54" s="235"/>
      <c r="B54" s="1482"/>
      <c r="C54" s="1155"/>
      <c r="D54" s="1157" t="s">
        <v>42</v>
      </c>
      <c r="E54" s="1153"/>
      <c r="F54" s="238"/>
      <c r="G54" s="238"/>
      <c r="H54" s="238"/>
      <c r="I54" s="238"/>
      <c r="J54" s="238"/>
      <c r="K54" s="238"/>
    </row>
    <row r="55" spans="1:11">
      <c r="A55" s="235"/>
      <c r="B55" s="1482"/>
      <c r="C55" s="1155"/>
      <c r="D55" s="1157" t="s">
        <v>43</v>
      </c>
      <c r="E55" s="1153"/>
      <c r="F55" s="238"/>
      <c r="G55" s="238"/>
      <c r="H55" s="238"/>
      <c r="I55" s="238"/>
      <c r="J55" s="238"/>
      <c r="K55" s="238"/>
    </row>
    <row r="56" spans="1:11">
      <c r="A56" s="235"/>
      <c r="B56" s="1482"/>
      <c r="C56" s="1155"/>
      <c r="D56" s="1157" t="s">
        <v>44</v>
      </c>
      <c r="E56" s="1153"/>
      <c r="F56" s="238"/>
      <c r="G56" s="238"/>
      <c r="H56" s="238"/>
      <c r="I56" s="238"/>
      <c r="J56" s="238"/>
      <c r="K56" s="238"/>
    </row>
    <row r="57" spans="1:11">
      <c r="A57" s="235"/>
      <c r="B57" s="1482"/>
      <c r="C57" s="1155"/>
      <c r="D57" s="1157" t="s">
        <v>45</v>
      </c>
      <c r="E57" s="1153"/>
      <c r="F57" s="238"/>
      <c r="G57" s="238"/>
      <c r="H57" s="238"/>
      <c r="I57" s="238"/>
      <c r="J57" s="238"/>
      <c r="K57" s="238"/>
    </row>
    <row r="58" spans="1:11" ht="15.75" thickBot="1">
      <c r="A58" s="235"/>
      <c r="B58" s="239"/>
      <c r="C58" s="240"/>
      <c r="D58" s="238"/>
      <c r="E58" s="238"/>
      <c r="F58" s="238"/>
      <c r="G58" s="238"/>
      <c r="H58" s="238"/>
      <c r="I58" s="238"/>
      <c r="J58" s="238"/>
      <c r="K58" s="238"/>
    </row>
    <row r="59" spans="1:11" ht="15" customHeight="1" thickBot="1">
      <c r="A59" s="235"/>
      <c r="B59" s="280" t="s">
        <v>49</v>
      </c>
      <c r="C59" s="281"/>
      <c r="D59" s="281"/>
      <c r="E59" s="282"/>
      <c r="F59" s="235"/>
      <c r="G59" s="238"/>
      <c r="H59" s="238"/>
      <c r="I59" s="238"/>
      <c r="J59" s="238"/>
      <c r="K59" s="238"/>
    </row>
    <row r="60" spans="1:11" ht="24.75" thickBot="1">
      <c r="A60" s="235"/>
      <c r="B60" s="274" t="s">
        <v>50</v>
      </c>
      <c r="C60" s="264" t="s">
        <v>51</v>
      </c>
      <c r="D60" s="264" t="s">
        <v>52</v>
      </c>
      <c r="E60" s="264" t="s">
        <v>53</v>
      </c>
      <c r="F60" s="238"/>
      <c r="G60" s="238"/>
      <c r="H60" s="238"/>
      <c r="I60" s="238"/>
      <c r="J60" s="238"/>
      <c r="K60" s="235"/>
    </row>
    <row r="61" spans="1:11" ht="72.75" thickBot="1">
      <c r="A61" s="235"/>
      <c r="B61" s="284">
        <v>42401</v>
      </c>
      <c r="C61" s="264">
        <v>0.01</v>
      </c>
      <c r="D61" s="285" t="s">
        <v>347</v>
      </c>
      <c r="E61" s="264"/>
      <c r="F61" s="238"/>
      <c r="G61" s="238"/>
      <c r="H61" s="238"/>
      <c r="I61" s="238"/>
      <c r="J61" s="238"/>
      <c r="K61" s="235"/>
    </row>
    <row r="62" spans="1:11" ht="15.75" thickBot="1">
      <c r="A62" s="235"/>
      <c r="B62" s="296"/>
      <c r="C62" s="297"/>
      <c r="D62" s="238"/>
      <c r="E62" s="238"/>
      <c r="F62" s="238"/>
      <c r="G62" s="238"/>
      <c r="H62" s="238"/>
      <c r="I62" s="238"/>
      <c r="J62" s="238"/>
      <c r="K62" s="238"/>
    </row>
    <row r="63" spans="1:11" ht="15.75" thickBot="1">
      <c r="A63" s="235"/>
      <c r="B63" s="323" t="s">
        <v>55</v>
      </c>
      <c r="C63" s="287"/>
      <c r="D63" s="238"/>
      <c r="E63" s="238"/>
      <c r="F63" s="238"/>
      <c r="G63" s="238"/>
      <c r="H63" s="238"/>
      <c r="I63" s="238"/>
      <c r="J63" s="238"/>
      <c r="K63" s="238"/>
    </row>
    <row r="64" spans="1:11">
      <c r="A64" s="235"/>
      <c r="B64" s="1440" t="s">
        <v>1475</v>
      </c>
      <c r="C64" s="1441"/>
      <c r="D64" s="1441"/>
      <c r="E64" s="1441"/>
      <c r="F64" s="238"/>
      <c r="G64" s="238"/>
      <c r="H64" s="238"/>
      <c r="I64" s="238"/>
      <c r="J64" s="238"/>
      <c r="K64" s="238"/>
    </row>
    <row r="65" spans="1:11">
      <c r="A65" s="235"/>
      <c r="B65" s="1440"/>
      <c r="C65" s="1441"/>
      <c r="D65" s="1441"/>
      <c r="E65" s="1441"/>
      <c r="F65" s="238"/>
      <c r="G65" s="238"/>
      <c r="H65" s="238"/>
      <c r="I65" s="238"/>
      <c r="J65" s="238"/>
      <c r="K65" s="238"/>
    </row>
    <row r="66" spans="1:11" ht="15.75" thickBot="1">
      <c r="A66" s="235"/>
      <c r="B66" s="238"/>
      <c r="C66" s="254"/>
      <c r="D66" s="238"/>
      <c r="E66" s="238"/>
      <c r="F66" s="238"/>
      <c r="G66" s="238"/>
      <c r="H66" s="238"/>
      <c r="I66" s="238"/>
      <c r="J66" s="238"/>
      <c r="K66" s="238"/>
    </row>
    <row r="67" spans="1:11" ht="24.75" thickBot="1">
      <c r="A67" s="235"/>
      <c r="B67" s="298" t="s">
        <v>56</v>
      </c>
      <c r="C67" s="299"/>
      <c r="D67" s="238"/>
      <c r="E67" s="238"/>
      <c r="F67" s="238"/>
      <c r="G67" s="238"/>
      <c r="H67" s="238"/>
      <c r="I67" s="238"/>
      <c r="J67" s="238"/>
      <c r="K67" s="238"/>
    </row>
    <row r="68" spans="1:11" ht="15.75" thickBot="1">
      <c r="A68" s="235"/>
      <c r="B68" s="306"/>
      <c r="C68" s="292"/>
      <c r="D68" s="238"/>
      <c r="E68" s="238"/>
      <c r="F68" s="238"/>
      <c r="G68" s="238"/>
      <c r="H68" s="238"/>
      <c r="I68" s="238"/>
      <c r="J68" s="238"/>
      <c r="K68" s="238"/>
    </row>
    <row r="69" spans="1:11" ht="60.75" thickBot="1">
      <c r="A69" s="235"/>
      <c r="B69" s="288" t="s">
        <v>57</v>
      </c>
      <c r="C69" s="268"/>
      <c r="D69" s="262" t="s">
        <v>315</v>
      </c>
      <c r="E69" s="238"/>
      <c r="F69" s="238"/>
      <c r="G69" s="238"/>
      <c r="H69" s="238"/>
      <c r="I69" s="238"/>
      <c r="J69" s="238"/>
      <c r="K69" s="238"/>
    </row>
    <row r="70" spans="1:11">
      <c r="A70" s="235"/>
      <c r="B70" s="1369" t="s">
        <v>59</v>
      </c>
      <c r="C70" s="261"/>
      <c r="D70" s="300" t="s">
        <v>60</v>
      </c>
      <c r="E70" s="238"/>
      <c r="F70" s="238"/>
      <c r="G70" s="238"/>
      <c r="H70" s="238"/>
      <c r="I70" s="238"/>
      <c r="J70" s="238"/>
      <c r="K70" s="238"/>
    </row>
    <row r="71" spans="1:11" ht="72">
      <c r="A71" s="235"/>
      <c r="B71" s="1370"/>
      <c r="C71" s="261"/>
      <c r="D71" s="301" t="s">
        <v>316</v>
      </c>
      <c r="E71" s="238"/>
      <c r="F71" s="238"/>
      <c r="G71" s="238"/>
      <c r="H71" s="238"/>
      <c r="I71" s="238"/>
      <c r="J71" s="238"/>
      <c r="K71" s="238"/>
    </row>
    <row r="72" spans="1:11">
      <c r="A72" s="235"/>
      <c r="B72" s="1370"/>
      <c r="C72" s="261"/>
      <c r="D72" s="300" t="s">
        <v>317</v>
      </c>
      <c r="E72" s="238"/>
      <c r="F72" s="238"/>
      <c r="G72" s="238"/>
      <c r="H72" s="238"/>
      <c r="I72" s="238"/>
      <c r="J72" s="238"/>
      <c r="K72" s="238"/>
    </row>
    <row r="73" spans="1:11">
      <c r="A73" s="235"/>
      <c r="B73" s="1370"/>
      <c r="C73" s="261"/>
      <c r="D73" s="301" t="s">
        <v>318</v>
      </c>
      <c r="E73" s="238"/>
      <c r="F73" s="238"/>
      <c r="G73" s="238"/>
      <c r="H73" s="238"/>
      <c r="I73" s="238"/>
      <c r="J73" s="238"/>
      <c r="K73" s="238"/>
    </row>
    <row r="74" spans="1:11" ht="60">
      <c r="A74" s="235"/>
      <c r="B74" s="1370"/>
      <c r="C74" s="261"/>
      <c r="D74" s="301" t="s">
        <v>319</v>
      </c>
      <c r="E74" s="238"/>
      <c r="F74" s="238"/>
      <c r="G74" s="238"/>
      <c r="H74" s="238"/>
      <c r="I74" s="238"/>
      <c r="J74" s="238"/>
      <c r="K74" s="238"/>
    </row>
    <row r="75" spans="1:11" ht="252">
      <c r="A75" s="235"/>
      <c r="B75" s="1370"/>
      <c r="C75" s="261"/>
      <c r="D75" s="301" t="s">
        <v>320</v>
      </c>
      <c r="E75" s="238"/>
      <c r="F75" s="238"/>
      <c r="G75" s="238"/>
      <c r="H75" s="238"/>
      <c r="I75" s="238"/>
      <c r="J75" s="238"/>
      <c r="K75" s="238"/>
    </row>
    <row r="76" spans="1:11">
      <c r="A76" s="235"/>
      <c r="B76" s="1370"/>
      <c r="C76" s="261"/>
      <c r="D76" s="300" t="s">
        <v>288</v>
      </c>
      <c r="E76" s="238"/>
      <c r="F76" s="238"/>
      <c r="G76" s="238"/>
      <c r="H76" s="238"/>
      <c r="I76" s="238"/>
      <c r="J76" s="238"/>
      <c r="K76" s="238"/>
    </row>
    <row r="77" spans="1:11" ht="15.75" thickBot="1">
      <c r="A77" s="235"/>
      <c r="B77" s="1371"/>
      <c r="C77" s="271"/>
      <c r="D77" s="264" t="s">
        <v>321</v>
      </c>
      <c r="E77" s="238"/>
      <c r="F77" s="238"/>
      <c r="G77" s="238"/>
      <c r="H77" s="238"/>
      <c r="I77" s="238"/>
      <c r="J77" s="238"/>
      <c r="K77" s="238"/>
    </row>
    <row r="78" spans="1:11">
      <c r="A78" s="235"/>
      <c r="B78" s="1369" t="s">
        <v>72</v>
      </c>
      <c r="C78" s="336"/>
      <c r="D78" s="1369"/>
      <c r="E78" s="238"/>
      <c r="F78" s="238"/>
      <c r="G78" s="238"/>
      <c r="H78" s="238"/>
      <c r="I78" s="238"/>
      <c r="J78" s="238"/>
      <c r="K78" s="238"/>
    </row>
    <row r="79" spans="1:11" ht="15.75" thickBot="1">
      <c r="A79" s="235"/>
      <c r="B79" s="1371"/>
      <c r="C79" s="342"/>
      <c r="D79" s="1371"/>
      <c r="E79" s="238"/>
      <c r="F79" s="238"/>
      <c r="G79" s="238"/>
      <c r="H79" s="238"/>
      <c r="I79" s="238"/>
      <c r="J79" s="238"/>
      <c r="K79" s="238"/>
    </row>
    <row r="80" spans="1:11" ht="180">
      <c r="A80" s="235"/>
      <c r="B80" s="1369" t="s">
        <v>73</v>
      </c>
      <c r="C80" s="261"/>
      <c r="D80" s="301" t="s">
        <v>322</v>
      </c>
      <c r="E80" s="238"/>
      <c r="F80" s="238"/>
      <c r="G80" s="238"/>
      <c r="H80" s="238"/>
      <c r="I80" s="238"/>
      <c r="J80" s="238"/>
      <c r="K80" s="238"/>
    </row>
    <row r="81" spans="1:11" ht="120">
      <c r="A81" s="235"/>
      <c r="B81" s="1370"/>
      <c r="C81" s="261"/>
      <c r="D81" s="301" t="s">
        <v>323</v>
      </c>
      <c r="E81" s="238"/>
      <c r="F81" s="238"/>
      <c r="G81" s="238"/>
      <c r="H81" s="238"/>
      <c r="I81" s="238"/>
      <c r="J81" s="238"/>
      <c r="K81" s="238"/>
    </row>
    <row r="82" spans="1:11" ht="120">
      <c r="A82" s="235"/>
      <c r="B82" s="1370"/>
      <c r="C82" s="261"/>
      <c r="D82" s="301" t="s">
        <v>324</v>
      </c>
      <c r="E82" s="238"/>
      <c r="F82" s="238"/>
      <c r="G82" s="238"/>
      <c r="H82" s="238"/>
      <c r="I82" s="238"/>
      <c r="J82" s="238"/>
      <c r="K82" s="238"/>
    </row>
    <row r="83" spans="1:11" ht="84">
      <c r="A83" s="235"/>
      <c r="B83" s="1370"/>
      <c r="C83" s="261"/>
      <c r="D83" s="301" t="s">
        <v>325</v>
      </c>
      <c r="E83" s="238"/>
      <c r="F83" s="238"/>
      <c r="G83" s="238"/>
      <c r="H83" s="238"/>
      <c r="I83" s="238"/>
      <c r="J83" s="238"/>
      <c r="K83" s="238"/>
    </row>
    <row r="84" spans="1:11" ht="72">
      <c r="A84" s="235"/>
      <c r="B84" s="1370"/>
      <c r="C84" s="261"/>
      <c r="D84" s="301" t="s">
        <v>326</v>
      </c>
      <c r="E84" s="238"/>
      <c r="F84" s="238"/>
      <c r="G84" s="238"/>
      <c r="H84" s="238"/>
      <c r="I84" s="238"/>
      <c r="J84" s="238"/>
      <c r="K84" s="238"/>
    </row>
    <row r="85" spans="1:11" ht="192">
      <c r="A85" s="235"/>
      <c r="B85" s="1370"/>
      <c r="C85" s="261"/>
      <c r="D85" s="301" t="s">
        <v>327</v>
      </c>
      <c r="E85" s="238"/>
      <c r="F85" s="238"/>
      <c r="G85" s="238"/>
      <c r="H85" s="238"/>
      <c r="I85" s="238"/>
      <c r="J85" s="238"/>
      <c r="K85" s="238"/>
    </row>
    <row r="86" spans="1:11" ht="108.75" thickBot="1">
      <c r="A86" s="235"/>
      <c r="B86" s="1371"/>
      <c r="C86" s="271"/>
      <c r="D86" s="264" t="s">
        <v>328</v>
      </c>
      <c r="E86" s="238"/>
      <c r="F86" s="238"/>
      <c r="G86" s="238"/>
      <c r="H86" s="238"/>
      <c r="I86" s="238"/>
      <c r="J86" s="238"/>
      <c r="K86" s="238"/>
    </row>
    <row r="87" spans="1:11" ht="24">
      <c r="A87" s="235"/>
      <c r="B87" s="1369" t="s">
        <v>90</v>
      </c>
      <c r="C87" s="261"/>
      <c r="D87" s="300" t="s">
        <v>329</v>
      </c>
      <c r="E87" s="238"/>
      <c r="F87" s="238"/>
      <c r="G87" s="238"/>
      <c r="H87" s="238"/>
      <c r="I87" s="238"/>
      <c r="J87" s="238"/>
      <c r="K87" s="238"/>
    </row>
    <row r="88" spans="1:11">
      <c r="A88" s="235"/>
      <c r="B88" s="1370"/>
      <c r="C88" s="261"/>
      <c r="D88" s="302"/>
      <c r="E88" s="238"/>
      <c r="F88" s="238"/>
      <c r="G88" s="238"/>
      <c r="H88" s="238"/>
      <c r="I88" s="238"/>
      <c r="J88" s="238"/>
      <c r="K88" s="238"/>
    </row>
    <row r="89" spans="1:11">
      <c r="A89" s="235"/>
      <c r="B89" s="1370"/>
      <c r="C89" s="261"/>
      <c r="D89" s="301" t="s">
        <v>91</v>
      </c>
      <c r="E89" s="238"/>
      <c r="F89" s="238"/>
      <c r="G89" s="238"/>
      <c r="H89" s="238"/>
      <c r="I89" s="238"/>
      <c r="J89" s="238"/>
      <c r="K89" s="238"/>
    </row>
    <row r="90" spans="1:11" ht="37.5">
      <c r="A90" s="235"/>
      <c r="B90" s="1370"/>
      <c r="C90" s="261"/>
      <c r="D90" s="301" t="s">
        <v>330</v>
      </c>
      <c r="E90" s="238"/>
      <c r="F90" s="238"/>
      <c r="G90" s="238"/>
      <c r="H90" s="238"/>
      <c r="I90" s="238"/>
      <c r="J90" s="238"/>
      <c r="K90" s="238"/>
    </row>
    <row r="91" spans="1:11" ht="37.5">
      <c r="A91" s="235"/>
      <c r="B91" s="1370"/>
      <c r="C91" s="261"/>
      <c r="D91" s="301" t="s">
        <v>331</v>
      </c>
      <c r="E91" s="238"/>
      <c r="F91" s="238"/>
      <c r="G91" s="238"/>
      <c r="H91" s="238"/>
      <c r="I91" s="238"/>
      <c r="J91" s="238"/>
      <c r="K91" s="238"/>
    </row>
    <row r="92" spans="1:11" ht="37.5">
      <c r="A92" s="235"/>
      <c r="B92" s="1370"/>
      <c r="C92" s="261"/>
      <c r="D92" s="301" t="s">
        <v>332</v>
      </c>
      <c r="E92" s="238"/>
      <c r="F92" s="238"/>
      <c r="G92" s="238"/>
      <c r="H92" s="238"/>
      <c r="I92" s="238"/>
      <c r="J92" s="238"/>
      <c r="K92" s="238"/>
    </row>
    <row r="93" spans="1:11" ht="84">
      <c r="A93" s="235"/>
      <c r="B93" s="1370"/>
      <c r="C93" s="261"/>
      <c r="D93" s="343" t="s">
        <v>235</v>
      </c>
      <c r="E93" s="238"/>
      <c r="F93" s="238"/>
      <c r="G93" s="238"/>
      <c r="H93" s="238"/>
      <c r="I93" s="238"/>
      <c r="J93" s="238"/>
      <c r="K93" s="238"/>
    </row>
    <row r="94" spans="1:11">
      <c r="A94" s="235"/>
      <c r="B94" s="1370"/>
      <c r="C94" s="261"/>
      <c r="D94" s="300" t="s">
        <v>246</v>
      </c>
      <c r="E94" s="238"/>
      <c r="F94" s="238"/>
      <c r="G94" s="238"/>
      <c r="H94" s="238"/>
      <c r="I94" s="238"/>
      <c r="J94" s="238"/>
      <c r="K94" s="238"/>
    </row>
    <row r="95" spans="1:11" ht="36">
      <c r="A95" s="235"/>
      <c r="B95" s="1370"/>
      <c r="C95" s="261"/>
      <c r="D95" s="300" t="s">
        <v>333</v>
      </c>
      <c r="E95" s="238"/>
      <c r="F95" s="238"/>
      <c r="G95" s="238"/>
      <c r="H95" s="238"/>
      <c r="I95" s="238"/>
      <c r="J95" s="238"/>
      <c r="K95" s="238"/>
    </row>
    <row r="96" spans="1:11">
      <c r="A96" s="235"/>
      <c r="B96" s="1370"/>
      <c r="C96" s="261"/>
      <c r="D96" s="302"/>
      <c r="E96" s="238"/>
      <c r="F96" s="238"/>
      <c r="G96" s="238"/>
      <c r="H96" s="238"/>
      <c r="I96" s="238"/>
      <c r="J96" s="238"/>
      <c r="K96" s="238"/>
    </row>
    <row r="97" spans="1:11">
      <c r="A97" s="235"/>
      <c r="B97" s="1370"/>
      <c r="C97" s="261"/>
      <c r="D97" s="301" t="s">
        <v>91</v>
      </c>
      <c r="E97" s="238"/>
      <c r="F97" s="238"/>
      <c r="G97" s="238"/>
      <c r="H97" s="238"/>
      <c r="I97" s="238"/>
      <c r="J97" s="238"/>
      <c r="K97" s="238"/>
    </row>
    <row r="98" spans="1:11" ht="37.5">
      <c r="A98" s="235"/>
      <c r="B98" s="1370"/>
      <c r="C98" s="261"/>
      <c r="D98" s="301" t="s">
        <v>334</v>
      </c>
      <c r="E98" s="238"/>
      <c r="F98" s="238"/>
      <c r="G98" s="238"/>
      <c r="H98" s="238"/>
      <c r="I98" s="238"/>
      <c r="J98" s="238"/>
      <c r="K98" s="238"/>
    </row>
    <row r="99" spans="1:11" ht="62.25" thickBot="1">
      <c r="A99" s="235"/>
      <c r="B99" s="1371"/>
      <c r="C99" s="271"/>
      <c r="D99" s="264" t="s">
        <v>335</v>
      </c>
      <c r="E99" s="238"/>
      <c r="F99" s="238"/>
      <c r="G99" s="238"/>
      <c r="H99" s="238"/>
      <c r="I99" s="238"/>
      <c r="J99" s="238"/>
      <c r="K99" s="238"/>
    </row>
  </sheetData>
  <mergeCells count="28">
    <mergeCell ref="A1:P1"/>
    <mergeCell ref="A2:P2"/>
    <mergeCell ref="A3:P3"/>
    <mergeCell ref="A4:D4"/>
    <mergeCell ref="A5:P5"/>
    <mergeCell ref="B64:E65"/>
    <mergeCell ref="D15:K15"/>
    <mergeCell ref="D20:K20"/>
    <mergeCell ref="D21:K21"/>
    <mergeCell ref="D22:K22"/>
    <mergeCell ref="B15:B19"/>
    <mergeCell ref="B51:B57"/>
    <mergeCell ref="D23:K23"/>
    <mergeCell ref="D38:K38"/>
    <mergeCell ref="D39:K39"/>
    <mergeCell ref="B41:E41"/>
    <mergeCell ref="B42:B48"/>
    <mergeCell ref="B50:E50"/>
    <mergeCell ref="B70:B77"/>
    <mergeCell ref="B78:B79"/>
    <mergeCell ref="D78:D79"/>
    <mergeCell ref="B80:B86"/>
    <mergeCell ref="B87:B99"/>
    <mergeCell ref="B10:D10"/>
    <mergeCell ref="F10:R10"/>
    <mergeCell ref="F11:R11"/>
    <mergeCell ref="E12:R12"/>
    <mergeCell ref="E13:R13"/>
  </mergeCells>
  <conditionalFormatting sqref="F11:R11">
    <cfRule type="expression" dxfId="116" priority="4">
      <formula>E11="NO SE REPORTA"</formula>
    </cfRule>
    <cfRule type="expression" dxfId="115" priority="5">
      <formula>E10="NO APLICA"</formula>
    </cfRule>
  </conditionalFormatting>
  <conditionalFormatting sqref="E12:R12">
    <cfRule type="expression" dxfId="114" priority="3">
      <formula>E11="SI SE REPORTA"</formula>
    </cfRule>
  </conditionalFormatting>
  <conditionalFormatting sqref="F10:R10">
    <cfRule type="expression" dxfId="113" priority="1">
      <formula>E10="NO SE REPORTA"</formula>
    </cfRule>
    <cfRule type="expression" dxfId="112" priority="2">
      <formula>E9="NO APLICA"</formula>
    </cfRule>
  </conditionalFormatting>
  <dataValidations count="6">
    <dataValidation type="whole" operator="greaterThanOrEqual" allowBlank="1" showInputMessage="1" showErrorMessage="1" errorTitle="ERROR" error="Valor en HECTAREAS (sin decimales)_x000a_" sqref="E17:H18 F25:F36">
      <formula1>0</formula1>
    </dataValidation>
    <dataValidation allowBlank="1" showInputMessage="1" showErrorMessage="1" promptTitle="OJO" prompt="NO TOCAR" sqref="F37:J37"/>
    <dataValidation allowBlank="1" showInputMessage="1" showErrorMessage="1" sqref="E19:H19"/>
    <dataValidation type="list" allowBlank="1" showInputMessage="1" showErrorMessage="1" sqref="E11">
      <formula1>REPORTE</formula1>
    </dataValidation>
    <dataValidation type="list" allowBlank="1" showInputMessage="1" showErrorMessage="1" sqref="E10">
      <formula1>SI</formula1>
    </dataValidation>
    <dataValidation type="whole" operator="greaterThanOrEqual" allowBlank="1" showInputMessage="1" showErrorMessage="1" errorTitle="ERROR" error="Valor en PESOS (sin centavos)" sqref="G25:J36">
      <formula1>0</formula1>
    </dataValidation>
  </dataValidations>
  <hyperlinks>
    <hyperlink ref="B9" location="'ANEXO 3'!A1" display="VOLVER AL INDICE"/>
    <hyperlink ref="E46" r:id="rId1"/>
  </hyperlinks>
  <pageMargins left="0.25" right="0.25" top="0.75" bottom="0.75" header="0.3" footer="0.3"/>
  <pageSetup paperSize="178" orientation="landscape" horizontalDpi="1200" verticalDpi="1200"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U155"/>
  <sheetViews>
    <sheetView showGridLines="0" zoomScale="77" zoomScaleNormal="77" workbookViewId="0">
      <selection sqref="A1:P1"/>
    </sheetView>
  </sheetViews>
  <sheetFormatPr baseColWidth="10" defaultRowHeight="15"/>
  <cols>
    <col min="1" max="1" width="1.85546875" customWidth="1"/>
    <col min="2" max="2" width="12.85546875" customWidth="1"/>
    <col min="3" max="3" width="6.28515625" style="86" bestFit="1" customWidth="1"/>
    <col min="4" max="4" width="34.85546875" customWidth="1"/>
    <col min="5" max="5" width="12.140625" customWidth="1"/>
  </cols>
  <sheetData>
    <row r="1" spans="1:21" s="490" customFormat="1" ht="100.5" customHeight="1" thickBot="1">
      <c r="A1" s="1334"/>
      <c r="B1" s="1335"/>
      <c r="C1" s="1335"/>
      <c r="D1" s="1335"/>
      <c r="E1" s="1335"/>
      <c r="F1" s="1335"/>
      <c r="G1" s="1335"/>
      <c r="H1" s="1335"/>
      <c r="I1" s="1335"/>
      <c r="J1" s="1335"/>
      <c r="K1" s="1335"/>
      <c r="L1" s="1335"/>
      <c r="M1" s="1335"/>
      <c r="N1" s="1335"/>
      <c r="O1" s="1335"/>
      <c r="P1" s="1336"/>
      <c r="Q1" s="389"/>
      <c r="R1" s="389"/>
    </row>
    <row r="2" spans="1:21" s="491" customFormat="1" ht="16.5" thickBot="1">
      <c r="A2" s="1342" t="str">
        <f>'Datos Generales'!C5</f>
        <v>Corporación Autónoma Regional del Cesar – CORPOCESAR</v>
      </c>
      <c r="B2" s="1343"/>
      <c r="C2" s="1343"/>
      <c r="D2" s="1343"/>
      <c r="E2" s="1343"/>
      <c r="F2" s="1343"/>
      <c r="G2" s="1343"/>
      <c r="H2" s="1343"/>
      <c r="I2" s="1343"/>
      <c r="J2" s="1343"/>
      <c r="K2" s="1343"/>
      <c r="L2" s="1343"/>
      <c r="M2" s="1343"/>
      <c r="N2" s="1343"/>
      <c r="O2" s="1343"/>
      <c r="P2" s="1344"/>
      <c r="Q2" s="389"/>
      <c r="R2" s="389"/>
    </row>
    <row r="3" spans="1:21" s="491" customFormat="1" ht="16.5" thickBot="1">
      <c r="A3" s="1337" t="s">
        <v>1294</v>
      </c>
      <c r="B3" s="1338"/>
      <c r="C3" s="1338"/>
      <c r="D3" s="1338"/>
      <c r="E3" s="1338"/>
      <c r="F3" s="1338"/>
      <c r="G3" s="1338"/>
      <c r="H3" s="1338"/>
      <c r="I3" s="1338"/>
      <c r="J3" s="1338"/>
      <c r="K3" s="1338"/>
      <c r="L3" s="1338"/>
      <c r="M3" s="1338"/>
      <c r="N3" s="1338"/>
      <c r="O3" s="1338"/>
      <c r="P3" s="1339"/>
      <c r="Q3" s="389"/>
      <c r="R3" s="389"/>
    </row>
    <row r="4" spans="1:21" s="491" customFormat="1" ht="16.5" thickBot="1">
      <c r="A4" s="1340" t="s">
        <v>1293</v>
      </c>
      <c r="B4" s="1341"/>
      <c r="C4" s="1341"/>
      <c r="D4" s="1341"/>
      <c r="E4" s="498">
        <v>2022</v>
      </c>
      <c r="F4" s="498"/>
      <c r="G4" s="498"/>
      <c r="H4" s="498"/>
      <c r="I4" s="498"/>
      <c r="J4" s="498"/>
      <c r="K4" s="498"/>
      <c r="L4" s="499"/>
      <c r="M4" s="499"/>
      <c r="N4" s="499"/>
      <c r="O4" s="499"/>
      <c r="P4" s="500"/>
      <c r="Q4" s="389"/>
      <c r="R4" s="389"/>
    </row>
    <row r="5" spans="1:21" s="235" customFormat="1" ht="16.5" customHeight="1" thickBot="1">
      <c r="A5" s="1337" t="s">
        <v>348</v>
      </c>
      <c r="B5" s="1338"/>
      <c r="C5" s="1338"/>
      <c r="D5" s="1338"/>
      <c r="E5" s="1338"/>
      <c r="F5" s="1338"/>
      <c r="G5" s="1338"/>
      <c r="H5" s="1338"/>
      <c r="I5" s="1338"/>
      <c r="J5" s="1338"/>
      <c r="K5" s="1338"/>
      <c r="L5" s="1338"/>
      <c r="M5" s="1338"/>
      <c r="N5" s="1338"/>
      <c r="O5" s="1338"/>
      <c r="P5" s="1339"/>
    </row>
    <row r="6" spans="1:21">
      <c r="A6" s="235"/>
      <c r="B6" s="236"/>
      <c r="C6" s="237"/>
      <c r="D6" s="238"/>
      <c r="E6" s="238"/>
      <c r="F6" s="238"/>
      <c r="G6" s="238"/>
      <c r="H6" s="238"/>
      <c r="I6" s="238"/>
      <c r="J6" s="238"/>
      <c r="K6" s="238"/>
    </row>
    <row r="7" spans="1:21">
      <c r="A7" s="235"/>
      <c r="B7" s="239" t="s">
        <v>1</v>
      </c>
      <c r="C7" s="240"/>
      <c r="D7" s="238"/>
      <c r="E7" s="248"/>
      <c r="F7" s="238" t="s">
        <v>128</v>
      </c>
      <c r="G7" s="238"/>
      <c r="H7" s="238"/>
      <c r="I7" s="238"/>
      <c r="J7" s="238"/>
      <c r="K7" s="238"/>
    </row>
    <row r="8" spans="1:21" ht="15.75" thickBot="1">
      <c r="A8" s="235"/>
      <c r="B8" s="241"/>
      <c r="C8" s="242"/>
      <c r="D8" s="238"/>
      <c r="E8" s="243"/>
      <c r="F8" s="238" t="s">
        <v>129</v>
      </c>
      <c r="G8" s="238"/>
      <c r="H8" s="238"/>
      <c r="I8" s="238"/>
      <c r="J8" s="238"/>
      <c r="K8" s="238"/>
    </row>
    <row r="9" spans="1:21" ht="15.75" thickBot="1">
      <c r="A9" s="235"/>
      <c r="B9" s="250" t="s">
        <v>1181</v>
      </c>
      <c r="C9" s="251">
        <v>2022</v>
      </c>
      <c r="D9" s="246" t="s">
        <v>2100</v>
      </c>
      <c r="E9" s="253"/>
      <c r="F9" s="238" t="s">
        <v>130</v>
      </c>
      <c r="G9" s="238"/>
      <c r="H9" s="238"/>
      <c r="I9" s="238"/>
      <c r="J9" s="238"/>
      <c r="K9" s="238"/>
    </row>
    <row r="10" spans="1:21">
      <c r="A10" s="235"/>
      <c r="B10" s="462" t="s">
        <v>1182</v>
      </c>
      <c r="C10" s="240"/>
      <c r="D10" s="238"/>
      <c r="E10" s="238"/>
      <c r="F10" s="238"/>
      <c r="G10" s="238"/>
      <c r="H10" s="238"/>
      <c r="I10" s="238"/>
      <c r="J10" s="238"/>
      <c r="K10" s="238"/>
    </row>
    <row r="11" spans="1:21" s="389" customFormat="1" ht="15" customHeight="1">
      <c r="A11" s="235"/>
      <c r="B11" s="1392" t="s">
        <v>1236</v>
      </c>
      <c r="C11" s="1392"/>
      <c r="D11" s="1392"/>
      <c r="E11" s="468" t="s">
        <v>1233</v>
      </c>
      <c r="F11" s="1412" t="str">
        <f>'7Clima'!$F$10</f>
        <v>Acuerdo 005 del 22 de mayo de 2020 (Por medio del cual se aprueba el Plan de Accion Institucional 2020 -2023)</v>
      </c>
      <c r="G11" s="1412"/>
      <c r="H11" s="1412"/>
      <c r="I11" s="1412"/>
      <c r="J11" s="1412"/>
      <c r="K11" s="1412"/>
      <c r="L11" s="1412"/>
      <c r="M11" s="1412"/>
      <c r="N11" s="1412"/>
      <c r="O11" s="1412"/>
      <c r="P11" s="1412"/>
      <c r="Q11" s="1412"/>
      <c r="R11" s="1412"/>
      <c r="S11" s="1142"/>
      <c r="T11" s="464"/>
      <c r="U11" s="464"/>
    </row>
    <row r="12" spans="1:21" s="389" customFormat="1" ht="14.45" customHeight="1">
      <c r="A12" s="235"/>
      <c r="B12" s="465"/>
      <c r="C12" s="466"/>
      <c r="D12" s="467" t="str">
        <f>IF(E11="SI APLICA","¿El indicador no se reporta por limitaciones de información disponible? ","")</f>
        <v xml:space="preserve">¿El indicador no se reporta por limitaciones de información disponible? </v>
      </c>
      <c r="E12" s="1154" t="s">
        <v>1234</v>
      </c>
      <c r="F12" s="1484" t="str">
        <f t="shared" ref="F12" si="0">$F$11</f>
        <v>Acuerdo 005 del 22 de mayo de 2020 (Por medio del cual se aprueba el Plan de Accion Institucional 2020 -2023)</v>
      </c>
      <c r="G12" s="1484"/>
      <c r="H12" s="1484"/>
      <c r="I12" s="1484"/>
      <c r="J12" s="1484"/>
      <c r="K12" s="1484"/>
      <c r="L12" s="1484"/>
      <c r="M12" s="1484"/>
      <c r="N12" s="1484"/>
      <c r="O12" s="1484"/>
      <c r="P12" s="1484"/>
      <c r="Q12" s="1484"/>
      <c r="R12" s="1484"/>
      <c r="S12" s="1142"/>
    </row>
    <row r="13" spans="1:21" s="389" customFormat="1" ht="34.5" customHeight="1">
      <c r="A13" s="235"/>
      <c r="B13" s="462"/>
      <c r="C13" s="292"/>
      <c r="D13" s="467" t="str">
        <f>'8Suelo'!$D$12</f>
        <v xml:space="preserve">¿Qué programas o proyectos del Plan de Acción están asociados al indicador? </v>
      </c>
      <c r="E13" s="1398" t="s">
        <v>2130</v>
      </c>
      <c r="F13" s="1398"/>
      <c r="G13" s="1398"/>
      <c r="H13" s="1398"/>
      <c r="I13" s="1398"/>
      <c r="J13" s="1398"/>
      <c r="K13" s="1398"/>
      <c r="L13" s="1398"/>
      <c r="M13" s="1398"/>
      <c r="N13" s="1398"/>
      <c r="O13" s="1398"/>
      <c r="P13" s="1398"/>
      <c r="Q13" s="1398"/>
      <c r="R13" s="1398"/>
    </row>
    <row r="14" spans="1:21" s="389" customFormat="1" ht="51" customHeight="1">
      <c r="A14" s="235"/>
      <c r="B14" s="462"/>
      <c r="C14" s="292"/>
      <c r="D14" s="467" t="s">
        <v>1238</v>
      </c>
      <c r="E14" s="1395"/>
      <c r="F14" s="1396"/>
      <c r="G14" s="1396"/>
      <c r="H14" s="1396"/>
      <c r="I14" s="1396"/>
      <c r="J14" s="1396"/>
      <c r="K14" s="1396"/>
      <c r="L14" s="1396"/>
      <c r="M14" s="1396"/>
      <c r="N14" s="1396"/>
      <c r="O14" s="1396"/>
      <c r="P14" s="1396"/>
      <c r="Q14" s="1396"/>
      <c r="R14" s="1397"/>
    </row>
    <row r="15" spans="1:21" s="389" customFormat="1" ht="6.95" customHeight="1" thickBot="1">
      <c r="A15" s="235"/>
      <c r="B15" s="462"/>
      <c r="C15" s="240"/>
      <c r="D15" s="238"/>
      <c r="E15" s="238"/>
      <c r="F15" s="238"/>
      <c r="G15" s="238"/>
      <c r="H15" s="238"/>
      <c r="I15" s="238"/>
      <c r="J15" s="238"/>
      <c r="K15" s="238"/>
    </row>
    <row r="16" spans="1:21" ht="15" customHeight="1" thickBot="1">
      <c r="A16" s="235"/>
      <c r="B16" s="1369" t="s">
        <v>2</v>
      </c>
      <c r="C16" s="257"/>
      <c r="D16" s="258" t="s">
        <v>336</v>
      </c>
      <c r="E16" s="259"/>
      <c r="F16" s="259"/>
      <c r="G16" s="259"/>
      <c r="H16" s="259"/>
      <c r="I16" s="259"/>
      <c r="J16" s="260"/>
      <c r="K16" s="238"/>
    </row>
    <row r="17" spans="1:11">
      <c r="A17" s="235"/>
      <c r="B17" s="1370"/>
      <c r="C17" s="1470" t="s">
        <v>19</v>
      </c>
      <c r="D17" s="1489" t="s">
        <v>150</v>
      </c>
      <c r="E17" s="1495" t="s">
        <v>364</v>
      </c>
      <c r="F17" s="1491" t="s">
        <v>1172</v>
      </c>
      <c r="G17" s="1495" t="s">
        <v>151</v>
      </c>
      <c r="H17" s="238"/>
      <c r="I17" s="235"/>
      <c r="J17" s="263"/>
      <c r="K17" s="238"/>
    </row>
    <row r="18" spans="1:11" ht="31.5" customHeight="1" thickBot="1">
      <c r="A18" s="235"/>
      <c r="B18" s="1370"/>
      <c r="C18" s="1471"/>
      <c r="D18" s="1490"/>
      <c r="E18" s="1496"/>
      <c r="F18" s="1492"/>
      <c r="G18" s="1496"/>
      <c r="H18" s="238"/>
      <c r="I18" s="235"/>
      <c r="J18" s="263"/>
      <c r="K18" s="238"/>
    </row>
    <row r="19" spans="1:11" ht="24.75" thickBot="1">
      <c r="A19" s="235"/>
      <c r="B19" s="1370"/>
      <c r="C19" s="332" t="s">
        <v>152</v>
      </c>
      <c r="D19" s="267" t="s">
        <v>2143</v>
      </c>
      <c r="E19" s="549">
        <v>21</v>
      </c>
      <c r="F19" s="208"/>
      <c r="G19" s="582">
        <f t="shared" ref="G19:G24" si="1">+E19+F19</f>
        <v>21</v>
      </c>
      <c r="H19" s="238"/>
      <c r="I19" s="235"/>
      <c r="J19" s="263"/>
      <c r="K19" s="238"/>
    </row>
    <row r="20" spans="1:11" ht="24.75" thickBot="1">
      <c r="A20" s="235"/>
      <c r="B20" s="1370"/>
      <c r="C20" s="332" t="s">
        <v>154</v>
      </c>
      <c r="D20" s="267" t="s">
        <v>2141</v>
      </c>
      <c r="E20" s="580">
        <v>184295</v>
      </c>
      <c r="F20" s="209"/>
      <c r="G20" s="582">
        <f t="shared" si="1"/>
        <v>184295</v>
      </c>
      <c r="H20" s="238"/>
      <c r="I20" s="235"/>
      <c r="J20" s="263"/>
      <c r="K20" s="238"/>
    </row>
    <row r="21" spans="1:11" ht="36.75" thickBot="1">
      <c r="A21" s="235"/>
      <c r="B21" s="1370"/>
      <c r="C21" s="332" t="s">
        <v>156</v>
      </c>
      <c r="D21" s="267" t="s">
        <v>365</v>
      </c>
      <c r="E21" s="581">
        <v>35000</v>
      </c>
      <c r="F21" s="209"/>
      <c r="G21" s="582">
        <f t="shared" si="1"/>
        <v>35000</v>
      </c>
      <c r="H21" s="238"/>
      <c r="I21" s="235"/>
      <c r="J21" s="263"/>
      <c r="K21" s="238"/>
    </row>
    <row r="22" spans="1:11" ht="36.75" thickBot="1">
      <c r="A22" s="235"/>
      <c r="B22" s="1370"/>
      <c r="C22" s="332" t="s">
        <v>258</v>
      </c>
      <c r="D22" s="444" t="s">
        <v>1197</v>
      </c>
      <c r="E22" s="581">
        <v>35000</v>
      </c>
      <c r="F22" s="209"/>
      <c r="G22" s="582">
        <f t="shared" si="1"/>
        <v>35000</v>
      </c>
      <c r="H22" s="238"/>
      <c r="I22" s="235"/>
      <c r="J22" s="263"/>
      <c r="K22" s="238"/>
    </row>
    <row r="23" spans="1:11" ht="48.75" thickBot="1">
      <c r="A23" s="235"/>
      <c r="B23" s="1370"/>
      <c r="C23" s="332" t="s">
        <v>260</v>
      </c>
      <c r="D23" s="267" t="s">
        <v>2142</v>
      </c>
      <c r="E23" s="549">
        <v>4</v>
      </c>
      <c r="F23" s="208"/>
      <c r="G23" s="583">
        <v>4</v>
      </c>
      <c r="H23" s="238"/>
      <c r="I23" s="235"/>
      <c r="J23" s="263"/>
      <c r="K23" s="238"/>
    </row>
    <row r="24" spans="1:11" ht="48.75" thickBot="1">
      <c r="A24" s="235"/>
      <c r="B24" s="1370"/>
      <c r="C24" s="332" t="s">
        <v>262</v>
      </c>
      <c r="D24" s="267" t="s">
        <v>2144</v>
      </c>
      <c r="E24" s="364">
        <f>E20+E21</f>
        <v>219295</v>
      </c>
      <c r="F24" s="363">
        <f>+F21+F22</f>
        <v>0</v>
      </c>
      <c r="G24" s="582">
        <f t="shared" si="1"/>
        <v>219295</v>
      </c>
      <c r="H24" s="238"/>
      <c r="I24" s="235"/>
      <c r="J24" s="263"/>
      <c r="K24" s="238"/>
    </row>
    <row r="25" spans="1:11" ht="24" customHeight="1">
      <c r="A25" s="235"/>
      <c r="B25" s="1370"/>
      <c r="C25" s="265"/>
      <c r="D25" s="1493" t="s">
        <v>366</v>
      </c>
      <c r="E25" s="1494"/>
      <c r="F25" s="1494"/>
      <c r="G25" s="1494"/>
      <c r="H25" s="1494"/>
      <c r="I25" s="1494"/>
      <c r="J25" s="263"/>
      <c r="K25" s="235"/>
    </row>
    <row r="26" spans="1:11">
      <c r="A26" s="235"/>
      <c r="B26" s="1370"/>
      <c r="C26" s="265"/>
      <c r="D26" s="365" t="s">
        <v>367</v>
      </c>
      <c r="E26" s="296"/>
      <c r="F26" s="296"/>
      <c r="G26" s="296"/>
      <c r="H26" s="296"/>
      <c r="I26" s="296"/>
      <c r="J26" s="263"/>
      <c r="K26" s="235"/>
    </row>
    <row r="27" spans="1:11" ht="15.75" thickBot="1">
      <c r="A27" s="235"/>
      <c r="B27" s="1370"/>
      <c r="C27" s="265"/>
      <c r="D27" s="1357" t="s">
        <v>368</v>
      </c>
      <c r="E27" s="1402"/>
      <c r="F27" s="1402"/>
      <c r="G27" s="1402"/>
      <c r="H27" s="1402"/>
      <c r="I27" s="1402"/>
      <c r="J27" s="1359"/>
      <c r="K27" s="235"/>
    </row>
    <row r="28" spans="1:11" ht="15.75" thickBot="1">
      <c r="A28" s="235"/>
      <c r="B28" s="1370"/>
      <c r="C28" s="261"/>
      <c r="D28" s="269" t="s">
        <v>150</v>
      </c>
      <c r="E28" s="269" t="s">
        <v>20</v>
      </c>
      <c r="F28" s="269" t="s">
        <v>21</v>
      </c>
      <c r="G28" s="269" t="s">
        <v>22</v>
      </c>
      <c r="H28" s="269" t="s">
        <v>23</v>
      </c>
      <c r="I28" s="269" t="s">
        <v>151</v>
      </c>
      <c r="J28" s="263"/>
      <c r="K28" s="235"/>
    </row>
    <row r="29" spans="1:11" ht="15.75" thickBot="1">
      <c r="A29" s="235"/>
      <c r="B29" s="1370"/>
      <c r="C29" s="261"/>
      <c r="D29" s="283" t="s">
        <v>369</v>
      </c>
      <c r="E29" s="208">
        <v>0</v>
      </c>
      <c r="F29" s="208">
        <v>0</v>
      </c>
      <c r="G29" s="208">
        <v>0</v>
      </c>
      <c r="H29" s="208">
        <v>35000</v>
      </c>
      <c r="I29" s="338">
        <f>SUM(E29:H29)</f>
        <v>35000</v>
      </c>
      <c r="J29" s="263"/>
      <c r="K29" s="235"/>
    </row>
    <row r="30" spans="1:11" ht="15.75" thickBot="1">
      <c r="A30" s="235"/>
      <c r="B30" s="1370"/>
      <c r="C30" s="261"/>
      <c r="D30" s="283" t="s">
        <v>370</v>
      </c>
      <c r="E30" s="208">
        <v>1</v>
      </c>
      <c r="F30" s="208">
        <v>0</v>
      </c>
      <c r="G30" s="208">
        <v>0</v>
      </c>
      <c r="H30" s="208"/>
      <c r="I30" s="366"/>
      <c r="J30" s="263"/>
      <c r="K30" s="235"/>
    </row>
    <row r="31" spans="1:11" ht="15.75" thickBot="1">
      <c r="A31" s="235"/>
      <c r="B31" s="1370"/>
      <c r="C31" s="261"/>
      <c r="D31" s="283" t="s">
        <v>371</v>
      </c>
      <c r="E31" s="208"/>
      <c r="F31" s="208"/>
      <c r="G31" s="208"/>
      <c r="H31" s="208"/>
      <c r="I31" s="366"/>
      <c r="J31" s="263"/>
      <c r="K31" s="235"/>
    </row>
    <row r="32" spans="1:11" ht="15.75" thickBot="1">
      <c r="A32" s="235"/>
      <c r="B32" s="1370"/>
      <c r="C32" s="261"/>
      <c r="D32" s="283" t="s">
        <v>372</v>
      </c>
      <c r="E32" s="208"/>
      <c r="F32" s="208"/>
      <c r="G32" s="208"/>
      <c r="H32" s="208"/>
      <c r="I32" s="366"/>
      <c r="J32" s="263"/>
      <c r="K32" s="235"/>
    </row>
    <row r="33" spans="1:11" ht="15.75" thickBot="1">
      <c r="A33" s="235"/>
      <c r="B33" s="1370"/>
      <c r="C33" s="261"/>
      <c r="D33" s="283" t="s">
        <v>373</v>
      </c>
      <c r="E33" s="208"/>
      <c r="F33" s="208"/>
      <c r="G33" s="208"/>
      <c r="H33" s="208"/>
      <c r="I33" s="366"/>
      <c r="J33" s="263"/>
      <c r="K33" s="235"/>
    </row>
    <row r="34" spans="1:11" ht="15.75" thickBot="1">
      <c r="A34" s="235"/>
      <c r="B34" s="1370"/>
      <c r="C34" s="261"/>
      <c r="D34" s="283" t="s">
        <v>1193</v>
      </c>
      <c r="E34" s="361"/>
      <c r="F34" s="361"/>
      <c r="G34" s="361"/>
      <c r="H34" s="361"/>
      <c r="I34" s="366"/>
      <c r="J34" s="263"/>
      <c r="K34" s="235"/>
    </row>
    <row r="35" spans="1:11" ht="15.75" thickBot="1">
      <c r="A35" s="235"/>
      <c r="B35" s="1370"/>
      <c r="C35" s="261"/>
      <c r="D35" s="283" t="s">
        <v>151</v>
      </c>
      <c r="E35" s="338">
        <f>SUM(E30:E34)</f>
        <v>1</v>
      </c>
      <c r="F35" s="338">
        <f>SUM(F30:F34)</f>
        <v>0</v>
      </c>
      <c r="G35" s="338">
        <f>SUM(G30:G34)</f>
        <v>0</v>
      </c>
      <c r="H35" s="338">
        <f>SUM(H30:H34)</f>
        <v>0</v>
      </c>
      <c r="I35" s="366"/>
      <c r="J35" s="263"/>
      <c r="K35" s="235"/>
    </row>
    <row r="36" spans="1:11">
      <c r="A36" s="235"/>
      <c r="B36" s="1370"/>
      <c r="C36" s="265"/>
      <c r="D36" s="1357" t="s">
        <v>374</v>
      </c>
      <c r="E36" s="1402"/>
      <c r="F36" s="1402"/>
      <c r="G36" s="1402"/>
      <c r="H36" s="1402"/>
      <c r="I36" s="1402"/>
      <c r="J36" s="1359"/>
      <c r="K36" s="235"/>
    </row>
    <row r="37" spans="1:11">
      <c r="A37" s="235"/>
      <c r="B37" s="1370"/>
      <c r="C37" s="265"/>
      <c r="D37" s="1357" t="s">
        <v>375</v>
      </c>
      <c r="E37" s="1402"/>
      <c r="F37" s="1402"/>
      <c r="G37" s="1402"/>
      <c r="H37" s="1402"/>
      <c r="I37" s="1402"/>
      <c r="J37" s="1359"/>
      <c r="K37" s="235"/>
    </row>
    <row r="38" spans="1:11" ht="15.75" thickBot="1">
      <c r="A38" s="235"/>
      <c r="B38" s="1370"/>
      <c r="C38" s="265"/>
      <c r="D38" s="1354" t="s">
        <v>376</v>
      </c>
      <c r="E38" s="1403"/>
      <c r="F38" s="1403"/>
      <c r="G38" s="1403"/>
      <c r="H38" s="1403"/>
      <c r="I38" s="1403"/>
      <c r="J38" s="1356"/>
      <c r="K38" s="235"/>
    </row>
    <row r="39" spans="1:11" ht="15.75" thickBot="1">
      <c r="A39" s="235"/>
      <c r="B39" s="1370"/>
      <c r="C39" s="261"/>
      <c r="D39" s="269" t="s">
        <v>150</v>
      </c>
      <c r="E39" s="269" t="s">
        <v>20</v>
      </c>
      <c r="F39" s="269" t="s">
        <v>21</v>
      </c>
      <c r="G39" s="269" t="s">
        <v>22</v>
      </c>
      <c r="H39" s="269" t="s">
        <v>23</v>
      </c>
      <c r="I39" s="269" t="s">
        <v>151</v>
      </c>
      <c r="J39" s="263"/>
      <c r="K39" s="235"/>
    </row>
    <row r="40" spans="1:11" ht="15.75" thickBot="1">
      <c r="A40" s="235"/>
      <c r="B40" s="1370"/>
      <c r="C40" s="261"/>
      <c r="D40" s="283" t="s">
        <v>369</v>
      </c>
      <c r="E40" s="209">
        <v>0</v>
      </c>
      <c r="F40" s="209">
        <v>0</v>
      </c>
      <c r="G40" s="209">
        <v>0</v>
      </c>
      <c r="H40" s="209"/>
      <c r="I40" s="338">
        <f>SUM(E40:H40)</f>
        <v>0</v>
      </c>
      <c r="J40" s="263"/>
      <c r="K40" s="235"/>
    </row>
    <row r="41" spans="1:11" ht="15.75" thickBot="1">
      <c r="A41" s="235"/>
      <c r="B41" s="1370"/>
      <c r="C41" s="261"/>
      <c r="D41" s="283" t="s">
        <v>370</v>
      </c>
      <c r="E41" s="209">
        <v>1</v>
      </c>
      <c r="F41" s="209">
        <v>0</v>
      </c>
      <c r="G41" s="209">
        <v>0</v>
      </c>
      <c r="H41" s="209"/>
      <c r="I41" s="367"/>
      <c r="J41" s="263"/>
      <c r="K41" s="235"/>
    </row>
    <row r="42" spans="1:11" ht="15.75" thickBot="1">
      <c r="A42" s="235"/>
      <c r="B42" s="1370"/>
      <c r="C42" s="261"/>
      <c r="D42" s="283" t="s">
        <v>371</v>
      </c>
      <c r="E42" s="209"/>
      <c r="F42" s="209"/>
      <c r="G42" s="209"/>
      <c r="H42" s="209"/>
      <c r="I42" s="367"/>
      <c r="J42" s="263"/>
      <c r="K42" s="235"/>
    </row>
    <row r="43" spans="1:11" ht="15.75" thickBot="1">
      <c r="A43" s="235"/>
      <c r="B43" s="1370"/>
      <c r="C43" s="261"/>
      <c r="D43" s="283" t="s">
        <v>372</v>
      </c>
      <c r="E43" s="209"/>
      <c r="F43" s="209"/>
      <c r="G43" s="209"/>
      <c r="H43" s="209"/>
      <c r="I43" s="367"/>
      <c r="J43" s="263"/>
      <c r="K43" s="235"/>
    </row>
    <row r="44" spans="1:11" ht="15.75" thickBot="1">
      <c r="A44" s="235"/>
      <c r="B44" s="1370"/>
      <c r="C44" s="261"/>
      <c r="D44" s="283" t="s">
        <v>373</v>
      </c>
      <c r="E44" s="209"/>
      <c r="F44" s="209"/>
      <c r="G44" s="209"/>
      <c r="H44" s="209"/>
      <c r="I44" s="367"/>
      <c r="J44" s="263"/>
      <c r="K44" s="235"/>
    </row>
    <row r="45" spans="1:11" ht="15.75" thickBot="1">
      <c r="A45" s="235"/>
      <c r="B45" s="1370"/>
      <c r="C45" s="261"/>
      <c r="D45" s="283" t="s">
        <v>1193</v>
      </c>
      <c r="E45" s="209"/>
      <c r="F45" s="209"/>
      <c r="G45" s="209"/>
      <c r="H45" s="209"/>
      <c r="I45" s="367"/>
      <c r="J45" s="263"/>
      <c r="K45" s="235"/>
    </row>
    <row r="46" spans="1:11" ht="15.75" thickBot="1">
      <c r="A46" s="235"/>
      <c r="B46" s="1370"/>
      <c r="C46" s="261"/>
      <c r="D46" s="283" t="s">
        <v>151</v>
      </c>
      <c r="E46" s="338">
        <f>SUM(E41:E45)</f>
        <v>1</v>
      </c>
      <c r="F46" s="338">
        <f>SUM(F41:F45)</f>
        <v>0</v>
      </c>
      <c r="G46" s="338">
        <f>SUM(G41:G45)</f>
        <v>0</v>
      </c>
      <c r="H46" s="338">
        <f>SUM(H41:H45)</f>
        <v>0</v>
      </c>
      <c r="I46" s="367"/>
      <c r="J46" s="263"/>
      <c r="K46" s="235"/>
    </row>
    <row r="47" spans="1:11">
      <c r="A47" s="235"/>
      <c r="B47" s="1370"/>
      <c r="C47" s="265"/>
      <c r="D47" s="1357" t="s">
        <v>377</v>
      </c>
      <c r="E47" s="1402"/>
      <c r="F47" s="1402"/>
      <c r="G47" s="1402"/>
      <c r="H47" s="1402"/>
      <c r="I47" s="1402"/>
      <c r="J47" s="1359"/>
      <c r="K47" s="235"/>
    </row>
    <row r="48" spans="1:11">
      <c r="A48" s="235"/>
      <c r="B48" s="1370"/>
      <c r="C48" s="265"/>
      <c r="D48" s="1357" t="s">
        <v>378</v>
      </c>
      <c r="E48" s="1402"/>
      <c r="F48" s="1402"/>
      <c r="G48" s="1402"/>
      <c r="H48" s="1402"/>
      <c r="I48" s="1402"/>
      <c r="J48" s="1359"/>
      <c r="K48" s="235"/>
    </row>
    <row r="49" spans="1:11" hidden="1">
      <c r="A49" s="235"/>
      <c r="B49" s="1370"/>
      <c r="C49" s="265"/>
      <c r="D49" s="1354" t="s">
        <v>379</v>
      </c>
      <c r="E49" s="1403"/>
      <c r="F49" s="1403"/>
      <c r="G49" s="1403"/>
      <c r="H49" s="1403"/>
      <c r="I49" s="1403"/>
      <c r="J49" s="1356"/>
      <c r="K49" s="235"/>
    </row>
    <row r="50" spans="1:11" ht="15.75" hidden="1" thickBot="1">
      <c r="A50" s="235"/>
      <c r="B50" s="1370"/>
      <c r="C50" s="265"/>
      <c r="D50" s="1357" t="s">
        <v>368</v>
      </c>
      <c r="E50" s="1402"/>
      <c r="F50" s="1402"/>
      <c r="G50" s="1402"/>
      <c r="H50" s="1402"/>
      <c r="I50" s="1402"/>
      <c r="J50" s="1359"/>
      <c r="K50" s="235"/>
    </row>
    <row r="51" spans="1:11" ht="15.75" hidden="1" thickBot="1">
      <c r="A51" s="235"/>
      <c r="B51" s="1370"/>
      <c r="C51" s="261"/>
      <c r="D51" s="269" t="s">
        <v>150</v>
      </c>
      <c r="E51" s="269" t="s">
        <v>20</v>
      </c>
      <c r="F51" s="269" t="s">
        <v>21</v>
      </c>
      <c r="G51" s="269" t="s">
        <v>22</v>
      </c>
      <c r="H51" s="269" t="s">
        <v>23</v>
      </c>
      <c r="I51" s="269" t="s">
        <v>151</v>
      </c>
      <c r="J51" s="263"/>
      <c r="K51" s="235"/>
    </row>
    <row r="52" spans="1:11" ht="15.75" hidden="1" thickBot="1">
      <c r="A52" s="235"/>
      <c r="B52" s="1370"/>
      <c r="C52" s="261"/>
      <c r="D52" s="283" t="s">
        <v>369</v>
      </c>
      <c r="E52" s="7"/>
      <c r="F52" s="7"/>
      <c r="G52" s="7"/>
      <c r="H52" s="7"/>
      <c r="I52" s="272">
        <f>SUM(E52:H52)</f>
        <v>0</v>
      </c>
      <c r="J52" s="263"/>
      <c r="K52" s="235"/>
    </row>
    <row r="53" spans="1:11" ht="15.75" hidden="1" thickBot="1">
      <c r="A53" s="235"/>
      <c r="B53" s="1370"/>
      <c r="C53" s="261"/>
      <c r="D53" s="283" t="s">
        <v>370</v>
      </c>
      <c r="E53" s="7"/>
      <c r="F53" s="7"/>
      <c r="G53" s="7"/>
      <c r="H53" s="7"/>
      <c r="I53" s="368"/>
      <c r="J53" s="263"/>
      <c r="K53" s="235"/>
    </row>
    <row r="54" spans="1:11" ht="15.75" hidden="1" thickBot="1">
      <c r="A54" s="235"/>
      <c r="B54" s="1370"/>
      <c r="C54" s="261"/>
      <c r="D54" s="283" t="s">
        <v>371</v>
      </c>
      <c r="E54" s="7"/>
      <c r="F54" s="7"/>
      <c r="G54" s="7"/>
      <c r="H54" s="7"/>
      <c r="I54" s="368"/>
      <c r="J54" s="263"/>
      <c r="K54" s="235"/>
    </row>
    <row r="55" spans="1:11" ht="15.75" hidden="1" thickBot="1">
      <c r="A55" s="235"/>
      <c r="B55" s="1370"/>
      <c r="C55" s="261"/>
      <c r="D55" s="283" t="s">
        <v>372</v>
      </c>
      <c r="E55" s="7"/>
      <c r="F55" s="7"/>
      <c r="G55" s="7"/>
      <c r="H55" s="7"/>
      <c r="I55" s="368"/>
      <c r="J55" s="263"/>
      <c r="K55" s="235"/>
    </row>
    <row r="56" spans="1:11" ht="15.75" hidden="1" thickBot="1">
      <c r="A56" s="235"/>
      <c r="B56" s="1370"/>
      <c r="C56" s="261"/>
      <c r="D56" s="283" t="s">
        <v>373</v>
      </c>
      <c r="E56" s="7"/>
      <c r="F56" s="7"/>
      <c r="G56" s="7"/>
      <c r="H56" s="7"/>
      <c r="I56" s="368"/>
      <c r="J56" s="263"/>
      <c r="K56" s="235"/>
    </row>
    <row r="57" spans="1:11" ht="15.75" hidden="1" thickBot="1">
      <c r="A57" s="235"/>
      <c r="B57" s="1370"/>
      <c r="C57" s="261"/>
      <c r="D57" s="283" t="s">
        <v>1193</v>
      </c>
      <c r="E57" s="362"/>
      <c r="F57" s="362"/>
      <c r="G57" s="362"/>
      <c r="H57" s="362"/>
      <c r="I57" s="368"/>
      <c r="J57" s="263"/>
      <c r="K57" s="235"/>
    </row>
    <row r="58" spans="1:11" ht="15.75" hidden="1" thickBot="1">
      <c r="A58" s="235"/>
      <c r="B58" s="1370"/>
      <c r="C58" s="261"/>
      <c r="D58" s="283" t="s">
        <v>151</v>
      </c>
      <c r="E58" s="338">
        <f>SUM(E53:E57)</f>
        <v>0</v>
      </c>
      <c r="F58" s="338">
        <f>SUM(F53:F57)</f>
        <v>0</v>
      </c>
      <c r="G58" s="338">
        <f>SUM(G53:G57)</f>
        <v>0</v>
      </c>
      <c r="H58" s="338">
        <f>SUM(H53:H57)</f>
        <v>0</v>
      </c>
      <c r="I58" s="368"/>
      <c r="J58" s="263"/>
      <c r="K58" s="235"/>
    </row>
    <row r="59" spans="1:11" hidden="1">
      <c r="A59" s="235"/>
      <c r="B59" s="1370"/>
      <c r="C59" s="265"/>
      <c r="D59" s="1357" t="s">
        <v>374</v>
      </c>
      <c r="E59" s="1402"/>
      <c r="F59" s="1402"/>
      <c r="G59" s="1402"/>
      <c r="H59" s="1402"/>
      <c r="I59" s="1402"/>
      <c r="J59" s="1359"/>
      <c r="K59" s="235"/>
    </row>
    <row r="60" spans="1:11" hidden="1">
      <c r="A60" s="235"/>
      <c r="B60" s="1370"/>
      <c r="C60" s="265"/>
      <c r="D60" s="1357" t="s">
        <v>375</v>
      </c>
      <c r="E60" s="1402"/>
      <c r="F60" s="1402"/>
      <c r="G60" s="1402"/>
      <c r="H60" s="1402"/>
      <c r="I60" s="1402"/>
      <c r="J60" s="1359"/>
      <c r="K60" s="235"/>
    </row>
    <row r="61" spans="1:11" ht="15.75" thickBot="1">
      <c r="A61" s="235"/>
      <c r="B61" s="1370"/>
      <c r="C61" s="265"/>
      <c r="D61" s="1354" t="s">
        <v>376</v>
      </c>
      <c r="E61" s="1403"/>
      <c r="F61" s="1403"/>
      <c r="G61" s="1403"/>
      <c r="H61" s="1403"/>
      <c r="I61" s="1403"/>
      <c r="J61" s="1356"/>
      <c r="K61" s="235"/>
    </row>
    <row r="62" spans="1:11" ht="15.75" thickBot="1">
      <c r="A62" s="235"/>
      <c r="B62" s="1370"/>
      <c r="C62" s="261"/>
      <c r="D62" s="269" t="s">
        <v>150</v>
      </c>
      <c r="E62" s="269" t="s">
        <v>20</v>
      </c>
      <c r="F62" s="269" t="s">
        <v>21</v>
      </c>
      <c r="G62" s="269" t="s">
        <v>22</v>
      </c>
      <c r="H62" s="269" t="s">
        <v>23</v>
      </c>
      <c r="I62" s="269" t="s">
        <v>151</v>
      </c>
      <c r="J62" s="263"/>
      <c r="K62" s="235"/>
    </row>
    <row r="63" spans="1:11" ht="15.75" thickBot="1">
      <c r="A63" s="235"/>
      <c r="B63" s="1370"/>
      <c r="C63" s="261"/>
      <c r="D63" s="283" t="s">
        <v>369</v>
      </c>
      <c r="E63" s="190">
        <v>0</v>
      </c>
      <c r="F63" s="190">
        <v>0</v>
      </c>
      <c r="G63" s="190">
        <v>0</v>
      </c>
      <c r="H63" s="190"/>
      <c r="I63" s="338">
        <f>SUM(E63:H63)</f>
        <v>0</v>
      </c>
      <c r="J63" s="263"/>
      <c r="K63" s="235"/>
    </row>
    <row r="64" spans="1:11" ht="15.75" thickBot="1">
      <c r="A64" s="235"/>
      <c r="B64" s="1370"/>
      <c r="C64" s="261"/>
      <c r="D64" s="283" t="s">
        <v>370</v>
      </c>
      <c r="E64" s="190">
        <v>1</v>
      </c>
      <c r="F64" s="190">
        <v>0</v>
      </c>
      <c r="G64" s="190">
        <v>0</v>
      </c>
      <c r="H64" s="190"/>
      <c r="I64" s="368"/>
      <c r="J64" s="263"/>
      <c r="K64" s="235"/>
    </row>
    <row r="65" spans="1:11" ht="15.75" thickBot="1">
      <c r="A65" s="235"/>
      <c r="B65" s="1370"/>
      <c r="C65" s="261"/>
      <c r="D65" s="283" t="s">
        <v>371</v>
      </c>
      <c r="E65" s="190"/>
      <c r="F65" s="190"/>
      <c r="G65" s="190"/>
      <c r="H65" s="190"/>
      <c r="I65" s="368"/>
      <c r="J65" s="263"/>
      <c r="K65" s="235"/>
    </row>
    <row r="66" spans="1:11" ht="15.75" thickBot="1">
      <c r="A66" s="235"/>
      <c r="B66" s="1370"/>
      <c r="C66" s="261"/>
      <c r="D66" s="283" t="s">
        <v>372</v>
      </c>
      <c r="E66" s="190"/>
      <c r="F66" s="190"/>
      <c r="G66" s="190"/>
      <c r="H66" s="190"/>
      <c r="I66" s="368"/>
      <c r="J66" s="263"/>
      <c r="K66" s="235"/>
    </row>
    <row r="67" spans="1:11" ht="15.75" thickBot="1">
      <c r="A67" s="235"/>
      <c r="B67" s="1370"/>
      <c r="C67" s="261"/>
      <c r="D67" s="283" t="s">
        <v>373</v>
      </c>
      <c r="E67" s="190"/>
      <c r="F67" s="190"/>
      <c r="G67" s="190"/>
      <c r="H67" s="190"/>
      <c r="I67" s="368"/>
      <c r="J67" s="263"/>
      <c r="K67" s="235"/>
    </row>
    <row r="68" spans="1:11" ht="15.75" thickBot="1">
      <c r="A68" s="235"/>
      <c r="B68" s="1370"/>
      <c r="C68" s="261"/>
      <c r="D68" s="283" t="s">
        <v>1192</v>
      </c>
      <c r="E68" s="190"/>
      <c r="F68" s="190"/>
      <c r="G68" s="190"/>
      <c r="H68" s="190"/>
      <c r="I68" s="368"/>
      <c r="J68" s="263"/>
      <c r="K68" s="235"/>
    </row>
    <row r="69" spans="1:11" ht="15.75" thickBot="1">
      <c r="A69" s="235"/>
      <c r="B69" s="1370"/>
      <c r="C69" s="261"/>
      <c r="D69" s="283" t="s">
        <v>151</v>
      </c>
      <c r="E69" s="338">
        <f>SUM(E64:E68)</f>
        <v>1</v>
      </c>
      <c r="F69" s="338">
        <f>SUM(F64:F68)</f>
        <v>0</v>
      </c>
      <c r="G69" s="338">
        <f>SUM(G64:G68)</f>
        <v>0</v>
      </c>
      <c r="H69" s="338">
        <f>SUM(H64:H68)</f>
        <v>0</v>
      </c>
      <c r="I69" s="368"/>
      <c r="J69" s="263"/>
      <c r="K69" s="235"/>
    </row>
    <row r="70" spans="1:11">
      <c r="A70" s="235"/>
      <c r="B70" s="1370"/>
      <c r="C70" s="265"/>
      <c r="D70" s="1357" t="s">
        <v>377</v>
      </c>
      <c r="E70" s="1402"/>
      <c r="F70" s="1402"/>
      <c r="G70" s="1402"/>
      <c r="H70" s="1402"/>
      <c r="I70" s="1402"/>
      <c r="J70" s="1359"/>
      <c r="K70" s="235"/>
    </row>
    <row r="71" spans="1:11">
      <c r="A71" s="235"/>
      <c r="B71" s="1370"/>
      <c r="C71" s="265"/>
      <c r="D71" s="1357" t="s">
        <v>378</v>
      </c>
      <c r="E71" s="1402"/>
      <c r="F71" s="1402"/>
      <c r="G71" s="1402"/>
      <c r="H71" s="1402"/>
      <c r="I71" s="1402"/>
      <c r="J71" s="1359"/>
      <c r="K71" s="235"/>
    </row>
    <row r="72" spans="1:11" ht="15.75" thickBot="1">
      <c r="A72" s="235"/>
      <c r="B72" s="1370"/>
      <c r="C72" s="265"/>
      <c r="D72" s="1348" t="s">
        <v>380</v>
      </c>
      <c r="E72" s="1349"/>
      <c r="F72" s="1349"/>
      <c r="G72" s="1349"/>
      <c r="H72" s="1349"/>
      <c r="I72" s="1349"/>
      <c r="J72" s="1350"/>
      <c r="K72" s="235"/>
    </row>
    <row r="73" spans="1:11" ht="33" customHeight="1">
      <c r="A73" s="235"/>
      <c r="B73" s="1370"/>
      <c r="C73" s="261"/>
      <c r="D73" s="1353" t="s">
        <v>381</v>
      </c>
      <c r="E73" s="1369" t="s">
        <v>382</v>
      </c>
      <c r="F73" s="1369" t="s">
        <v>383</v>
      </c>
      <c r="G73" s="1369" t="s">
        <v>384</v>
      </c>
      <c r="H73" s="1369" t="s">
        <v>385</v>
      </c>
      <c r="I73" s="1369" t="s">
        <v>386</v>
      </c>
      <c r="J73" s="260" t="s">
        <v>387</v>
      </c>
      <c r="K73" s="238"/>
    </row>
    <row r="74" spans="1:11" ht="36" customHeight="1" thickBot="1">
      <c r="A74" s="235"/>
      <c r="B74" s="1370"/>
      <c r="C74" s="261"/>
      <c r="D74" s="1383"/>
      <c r="E74" s="1371"/>
      <c r="F74" s="1371"/>
      <c r="G74" s="1371"/>
      <c r="H74" s="1371"/>
      <c r="I74" s="1371"/>
      <c r="J74" s="267" t="s">
        <v>388</v>
      </c>
      <c r="K74" s="238"/>
    </row>
    <row r="75" spans="1:11" ht="15.75" thickBot="1">
      <c r="A75" s="235"/>
      <c r="B75" s="1370"/>
      <c r="C75" s="261"/>
      <c r="D75" s="30"/>
      <c r="E75" s="30"/>
      <c r="F75" s="30"/>
      <c r="G75" s="190"/>
      <c r="H75" s="190"/>
      <c r="I75" s="30"/>
      <c r="J75" s="30"/>
      <c r="K75" s="238"/>
    </row>
    <row r="76" spans="1:11" ht="15.75" hidden="1" thickBot="1">
      <c r="A76" s="235"/>
      <c r="B76" s="1370"/>
      <c r="C76" s="261"/>
      <c r="D76" s="30"/>
      <c r="E76" s="30"/>
      <c r="F76" s="30"/>
      <c r="G76" s="190"/>
      <c r="H76" s="190"/>
      <c r="I76" s="30"/>
      <c r="J76" s="30"/>
      <c r="K76" s="238"/>
    </row>
    <row r="77" spans="1:11" ht="15.75" hidden="1" thickBot="1">
      <c r="A77" s="235"/>
      <c r="B77" s="1370"/>
      <c r="C77" s="261"/>
      <c r="D77" s="30"/>
      <c r="E77" s="30"/>
      <c r="F77" s="30"/>
      <c r="G77" s="190"/>
      <c r="H77" s="190"/>
      <c r="I77" s="30"/>
      <c r="J77" s="30"/>
      <c r="K77" s="238"/>
    </row>
    <row r="78" spans="1:11" ht="15.75" hidden="1" thickBot="1">
      <c r="A78" s="235"/>
      <c r="B78" s="1370"/>
      <c r="C78" s="261"/>
      <c r="D78" s="30"/>
      <c r="E78" s="30"/>
      <c r="F78" s="30"/>
      <c r="G78" s="190"/>
      <c r="H78" s="190"/>
      <c r="I78" s="30"/>
      <c r="J78" s="30"/>
      <c r="K78" s="238"/>
    </row>
    <row r="79" spans="1:11" ht="15.75" hidden="1" thickBot="1">
      <c r="A79" s="235"/>
      <c r="B79" s="1370"/>
      <c r="C79" s="261"/>
      <c r="D79" s="30"/>
      <c r="E79" s="30"/>
      <c r="F79" s="30"/>
      <c r="G79" s="190"/>
      <c r="H79" s="190"/>
      <c r="I79" s="30"/>
      <c r="J79" s="30"/>
      <c r="K79" s="238"/>
    </row>
    <row r="80" spans="1:11" ht="15.75" hidden="1" thickBot="1">
      <c r="A80" s="235"/>
      <c r="B80" s="1370"/>
      <c r="C80" s="261"/>
      <c r="D80" s="30"/>
      <c r="E80" s="30"/>
      <c r="F80" s="30"/>
      <c r="G80" s="190"/>
      <c r="H80" s="190"/>
      <c r="I80" s="30"/>
      <c r="J80" s="30"/>
      <c r="K80" s="238"/>
    </row>
    <row r="81" spans="1:11" ht="15.75" hidden="1" thickBot="1">
      <c r="A81" s="235"/>
      <c r="B81" s="1370"/>
      <c r="C81" s="261"/>
      <c r="D81" s="30"/>
      <c r="E81" s="30"/>
      <c r="F81" s="30"/>
      <c r="G81" s="190"/>
      <c r="H81" s="190"/>
      <c r="I81" s="30"/>
      <c r="J81" s="30"/>
      <c r="K81" s="238"/>
    </row>
    <row r="82" spans="1:11" ht="15.75" hidden="1" thickBot="1">
      <c r="A82" s="235"/>
      <c r="B82" s="1370"/>
      <c r="C82" s="261"/>
      <c r="D82" s="30"/>
      <c r="E82" s="30"/>
      <c r="F82" s="30"/>
      <c r="G82" s="190"/>
      <c r="H82" s="190"/>
      <c r="I82" s="30"/>
      <c r="J82" s="30"/>
      <c r="K82" s="238"/>
    </row>
    <row r="83" spans="1:11" ht="15.75" hidden="1" thickBot="1">
      <c r="A83" s="235"/>
      <c r="B83" s="1370"/>
      <c r="C83" s="261"/>
      <c r="D83" s="30"/>
      <c r="E83" s="30"/>
      <c r="F83" s="30"/>
      <c r="G83" s="190"/>
      <c r="H83" s="190"/>
      <c r="I83" s="30"/>
      <c r="J83" s="30"/>
      <c r="K83" s="238"/>
    </row>
    <row r="84" spans="1:11" ht="15.75" hidden="1" thickBot="1">
      <c r="A84" s="235"/>
      <c r="B84" s="1370"/>
      <c r="C84" s="261"/>
      <c r="D84" s="30"/>
      <c r="E84" s="30"/>
      <c r="F84" s="30"/>
      <c r="G84" s="190"/>
      <c r="H84" s="190"/>
      <c r="I84" s="30"/>
      <c r="J84" s="30"/>
      <c r="K84" s="238"/>
    </row>
    <row r="85" spans="1:11" ht="15.75" hidden="1" thickBot="1">
      <c r="A85" s="235"/>
      <c r="B85" s="1370"/>
      <c r="C85" s="261"/>
      <c r="D85" s="30"/>
      <c r="E85" s="30"/>
      <c r="F85" s="30"/>
      <c r="G85" s="190"/>
      <c r="H85" s="190"/>
      <c r="I85" s="30"/>
      <c r="J85" s="30"/>
      <c r="K85" s="238"/>
    </row>
    <row r="86" spans="1:11" ht="15.75" hidden="1" thickBot="1">
      <c r="A86" s="235"/>
      <c r="B86" s="1370"/>
      <c r="C86" s="261"/>
      <c r="D86" s="30"/>
      <c r="E86" s="30"/>
      <c r="F86" s="30"/>
      <c r="G86" s="190"/>
      <c r="H86" s="190"/>
      <c r="I86" s="30"/>
      <c r="J86" s="30"/>
      <c r="K86" s="238"/>
    </row>
    <row r="87" spans="1:11" ht="15.75" hidden="1" thickBot="1">
      <c r="A87" s="235"/>
      <c r="B87" s="1370"/>
      <c r="C87" s="261"/>
      <c r="D87" s="30"/>
      <c r="E87" s="30"/>
      <c r="F87" s="30"/>
      <c r="G87" s="190"/>
      <c r="H87" s="190"/>
      <c r="I87" s="30"/>
      <c r="J87" s="30"/>
      <c r="K87" s="238"/>
    </row>
    <row r="88" spans="1:11" ht="15.75" hidden="1" thickBot="1">
      <c r="A88" s="235"/>
      <c r="B88" s="1370"/>
      <c r="C88" s="261"/>
      <c r="D88" s="30"/>
      <c r="E88" s="30"/>
      <c r="F88" s="30"/>
      <c r="G88" s="190"/>
      <c r="H88" s="190"/>
      <c r="I88" s="30"/>
      <c r="J88" s="30"/>
      <c r="K88" s="238"/>
    </row>
    <row r="89" spans="1:11">
      <c r="A89" s="235"/>
      <c r="B89" s="1370"/>
      <c r="C89" s="265"/>
      <c r="D89" s="1351" t="s">
        <v>389</v>
      </c>
      <c r="E89" s="1352"/>
      <c r="F89" s="1352"/>
      <c r="G89" s="1352"/>
      <c r="H89" s="1352"/>
      <c r="I89" s="1352"/>
      <c r="J89" s="1353"/>
      <c r="K89" s="238"/>
    </row>
    <row r="90" spans="1:11" ht="15.75" thickBot="1">
      <c r="A90" s="235"/>
      <c r="B90" s="1370"/>
      <c r="C90" s="265"/>
      <c r="D90" s="1381" t="s">
        <v>390</v>
      </c>
      <c r="E90" s="1382"/>
      <c r="F90" s="1382"/>
      <c r="G90" s="1382"/>
      <c r="H90" s="1382"/>
      <c r="I90" s="1382"/>
      <c r="J90" s="1383"/>
      <c r="K90" s="238"/>
    </row>
    <row r="91" spans="1:11">
      <c r="A91" s="235"/>
      <c r="B91" s="1370"/>
      <c r="C91" s="265"/>
      <c r="D91" s="290"/>
      <c r="E91" s="359"/>
      <c r="F91" s="359"/>
      <c r="G91" s="359"/>
      <c r="H91" s="359"/>
      <c r="I91" s="359"/>
      <c r="J91" s="301"/>
      <c r="K91" s="238"/>
    </row>
    <row r="92" spans="1:11" ht="15.75" thickBot="1">
      <c r="A92" s="235"/>
      <c r="B92" s="1370"/>
      <c r="C92" s="265"/>
      <c r="D92" s="290" t="s">
        <v>1194</v>
      </c>
      <c r="E92" s="359"/>
      <c r="F92" s="359"/>
      <c r="G92" s="359"/>
      <c r="H92" s="359"/>
      <c r="I92" s="359"/>
      <c r="J92" s="301"/>
      <c r="K92" s="238"/>
    </row>
    <row r="93" spans="1:11">
      <c r="A93" s="235"/>
      <c r="B93" s="1370"/>
      <c r="C93" s="265"/>
      <c r="D93" s="369" t="s">
        <v>150</v>
      </c>
      <c r="E93" s="370" t="s">
        <v>20</v>
      </c>
      <c r="F93" s="370" t="s">
        <v>21</v>
      </c>
      <c r="G93" s="370" t="s">
        <v>22</v>
      </c>
      <c r="H93" s="370" t="s">
        <v>23</v>
      </c>
      <c r="I93" s="371" t="s">
        <v>151</v>
      </c>
      <c r="J93" s="301"/>
      <c r="K93" s="238"/>
    </row>
    <row r="94" spans="1:11">
      <c r="A94" s="235"/>
      <c r="B94" s="1370"/>
      <c r="C94" s="265"/>
      <c r="D94" s="372" t="s">
        <v>1195</v>
      </c>
      <c r="E94" s="373">
        <f>+E63+E40</f>
        <v>0</v>
      </c>
      <c r="F94" s="373">
        <f>+F63+F40</f>
        <v>0</v>
      </c>
      <c r="G94" s="373">
        <f>+G63+G40</f>
        <v>0</v>
      </c>
      <c r="H94" s="373">
        <f>+H63+H40</f>
        <v>0</v>
      </c>
      <c r="I94" s="374">
        <f>SUM(E94:H94)</f>
        <v>0</v>
      </c>
      <c r="J94" s="301"/>
      <c r="K94" s="238"/>
    </row>
    <row r="95" spans="1:11" ht="36">
      <c r="A95" s="235"/>
      <c r="B95" s="1370"/>
      <c r="C95" s="265"/>
      <c r="D95" s="375" t="s">
        <v>1196</v>
      </c>
      <c r="E95" s="373">
        <f>+E68+E45</f>
        <v>0</v>
      </c>
      <c r="F95" s="373">
        <f>+F68+F45</f>
        <v>0</v>
      </c>
      <c r="G95" s="373">
        <f>+G68+G45</f>
        <v>0</v>
      </c>
      <c r="H95" s="373">
        <f>+H68+H45</f>
        <v>0</v>
      </c>
      <c r="I95" s="374">
        <f>SUM(E95:H95)</f>
        <v>0</v>
      </c>
      <c r="J95" s="301"/>
      <c r="K95" s="238"/>
    </row>
    <row r="96" spans="1:11" ht="48.75" thickBot="1">
      <c r="A96" s="235"/>
      <c r="B96" s="1370"/>
      <c r="C96" s="265"/>
      <c r="D96" s="375" t="s">
        <v>348</v>
      </c>
      <c r="E96" s="376" t="str">
        <f>IFERROR(E95/E94,"N.A.")</f>
        <v>N.A.</v>
      </c>
      <c r="F96" s="376" t="str">
        <f>IFERROR(F95/F94,"N.A.")</f>
        <v>N.A.</v>
      </c>
      <c r="G96" s="376" t="str">
        <f>IFERROR(G95/G94,"N.A.")</f>
        <v>N.A.</v>
      </c>
      <c r="H96" s="376" t="str">
        <f>IFERROR(H95/H94,"N.A.")</f>
        <v>N.A.</v>
      </c>
      <c r="I96" s="376" t="str">
        <f>IFERROR(I95/I94,"N.A.")</f>
        <v>N.A.</v>
      </c>
      <c r="J96" s="301"/>
      <c r="K96" s="238"/>
    </row>
    <row r="97" spans="1:11" ht="24" customHeight="1" thickBot="1">
      <c r="A97" s="235"/>
      <c r="B97" s="1371"/>
      <c r="C97" s="275"/>
      <c r="D97" s="235"/>
      <c r="E97" s="235"/>
      <c r="F97" s="235"/>
      <c r="G97" s="235"/>
      <c r="H97" s="235"/>
      <c r="I97" s="235"/>
      <c r="J97" s="301"/>
      <c r="K97" s="238"/>
    </row>
    <row r="98" spans="1:11" ht="24" customHeight="1" thickBot="1">
      <c r="A98" s="235"/>
      <c r="B98" s="274" t="s">
        <v>34</v>
      </c>
      <c r="C98" s="275"/>
      <c r="D98" s="1378" t="s">
        <v>391</v>
      </c>
      <c r="E98" s="1379"/>
      <c r="F98" s="1379"/>
      <c r="G98" s="1379"/>
      <c r="H98" s="1379"/>
      <c r="I98" s="1379"/>
      <c r="J98" s="1380"/>
      <c r="K98" s="238"/>
    </row>
    <row r="99" spans="1:11" ht="24" customHeight="1">
      <c r="A99" s="235"/>
      <c r="B99" s="1369" t="s">
        <v>36</v>
      </c>
      <c r="C99" s="257"/>
      <c r="D99" s="1351" t="s">
        <v>346</v>
      </c>
      <c r="E99" s="1352"/>
      <c r="F99" s="1352"/>
      <c r="G99" s="1352"/>
      <c r="H99" s="1352"/>
      <c r="I99" s="1352"/>
      <c r="J99" s="1353"/>
      <c r="K99" s="238"/>
    </row>
    <row r="100" spans="1:11" ht="48" customHeight="1">
      <c r="A100" s="235"/>
      <c r="B100" s="1370"/>
      <c r="C100" s="265"/>
      <c r="D100" s="1357" t="s">
        <v>392</v>
      </c>
      <c r="E100" s="1402"/>
      <c r="F100" s="1402"/>
      <c r="G100" s="1402"/>
      <c r="H100" s="1402"/>
      <c r="I100" s="1402"/>
      <c r="J100" s="1359"/>
      <c r="K100" s="238"/>
    </row>
    <row r="101" spans="1:11" ht="60" customHeight="1" thickBot="1">
      <c r="A101" s="235"/>
      <c r="B101" s="1371"/>
      <c r="C101" s="275"/>
      <c r="D101" s="1381" t="s">
        <v>393</v>
      </c>
      <c r="E101" s="1382"/>
      <c r="F101" s="1382"/>
      <c r="G101" s="1382"/>
      <c r="H101" s="1382"/>
      <c r="I101" s="1382"/>
      <c r="J101" s="1383"/>
      <c r="K101" s="238"/>
    </row>
    <row r="102" spans="1:11" ht="15.75" thickBot="1">
      <c r="A102" s="235"/>
      <c r="B102" s="239"/>
      <c r="C102" s="240"/>
      <c r="D102" s="238"/>
      <c r="E102" s="238"/>
      <c r="F102" s="238"/>
      <c r="G102" s="238"/>
      <c r="H102" s="238"/>
      <c r="I102" s="238"/>
      <c r="J102" s="238"/>
      <c r="K102" s="238"/>
    </row>
    <row r="103" spans="1:11" ht="24" customHeight="1" thickBot="1">
      <c r="A103" s="235"/>
      <c r="B103" s="1366" t="s">
        <v>38</v>
      </c>
      <c r="C103" s="1367"/>
      <c r="D103" s="1367"/>
      <c r="E103" s="1368"/>
      <c r="F103" s="238"/>
      <c r="G103" s="238"/>
      <c r="H103" s="238"/>
      <c r="I103" s="238"/>
      <c r="J103" s="238"/>
      <c r="K103" s="238"/>
    </row>
    <row r="104" spans="1:11" ht="15.75" thickBot="1">
      <c r="A104" s="235"/>
      <c r="B104" s="1369">
        <v>1</v>
      </c>
      <c r="C104" s="261"/>
      <c r="D104" s="278" t="s">
        <v>39</v>
      </c>
      <c r="E104" s="31"/>
      <c r="F104" s="238"/>
      <c r="G104" s="238"/>
      <c r="H104" s="238"/>
      <c r="I104" s="238"/>
      <c r="J104" s="238"/>
      <c r="K104" s="238"/>
    </row>
    <row r="105" spans="1:11" ht="36.75" thickBot="1">
      <c r="A105" s="235"/>
      <c r="B105" s="1370"/>
      <c r="C105" s="261"/>
      <c r="D105" s="267" t="s">
        <v>40</v>
      </c>
      <c r="E105" s="554" t="s">
        <v>1380</v>
      </c>
      <c r="F105" s="238"/>
      <c r="G105" s="238"/>
      <c r="H105" s="238"/>
      <c r="I105" s="238"/>
      <c r="J105" s="238"/>
      <c r="K105" s="238"/>
    </row>
    <row r="106" spans="1:11" ht="24.75" thickBot="1">
      <c r="A106" s="235"/>
      <c r="B106" s="1370"/>
      <c r="C106" s="261"/>
      <c r="D106" s="267" t="s">
        <v>41</v>
      </c>
      <c r="E106" s="554" t="s">
        <v>1392</v>
      </c>
      <c r="F106" s="238"/>
      <c r="G106" s="238"/>
      <c r="H106" s="238"/>
      <c r="I106" s="238"/>
      <c r="J106" s="238"/>
      <c r="K106" s="238"/>
    </row>
    <row r="107" spans="1:11" ht="24.75" thickBot="1">
      <c r="A107" s="235"/>
      <c r="B107" s="1370"/>
      <c r="C107" s="261"/>
      <c r="D107" s="267" t="s">
        <v>42</v>
      </c>
      <c r="E107" s="554" t="s">
        <v>1393</v>
      </c>
      <c r="F107" s="238"/>
      <c r="G107" s="238"/>
      <c r="H107" s="238"/>
      <c r="I107" s="238"/>
      <c r="J107" s="238"/>
      <c r="K107" s="238"/>
    </row>
    <row r="108" spans="1:11" ht="60.75" thickBot="1">
      <c r="A108" s="235"/>
      <c r="B108" s="1370"/>
      <c r="C108" s="261"/>
      <c r="D108" s="267" t="s">
        <v>43</v>
      </c>
      <c r="E108" s="579" t="s">
        <v>1394</v>
      </c>
      <c r="F108" s="238"/>
      <c r="G108" s="238"/>
      <c r="H108" s="238"/>
      <c r="I108" s="238"/>
      <c r="J108" s="238"/>
      <c r="K108" s="238"/>
    </row>
    <row r="109" spans="1:11" ht="15.75" thickBot="1">
      <c r="A109" s="235"/>
      <c r="B109" s="1370"/>
      <c r="C109" s="261"/>
      <c r="D109" s="267" t="s">
        <v>44</v>
      </c>
      <c r="E109" s="554">
        <v>5748960</v>
      </c>
      <c r="F109" s="238"/>
      <c r="G109" s="238"/>
      <c r="H109" s="238"/>
      <c r="I109" s="238"/>
      <c r="J109" s="238"/>
      <c r="K109" s="238"/>
    </row>
    <row r="110" spans="1:11" ht="24.75" thickBot="1">
      <c r="A110" s="235"/>
      <c r="B110" s="1371"/>
      <c r="C110" s="332"/>
      <c r="D110" s="267" t="s">
        <v>45</v>
      </c>
      <c r="E110" s="554" t="s">
        <v>1395</v>
      </c>
      <c r="F110" s="238"/>
      <c r="G110" s="238"/>
      <c r="H110" s="238"/>
      <c r="I110" s="238"/>
      <c r="J110" s="238"/>
      <c r="K110" s="238"/>
    </row>
    <row r="111" spans="1:11" ht="15.75" thickBot="1">
      <c r="A111" s="235"/>
      <c r="B111" s="239"/>
      <c r="C111" s="240"/>
      <c r="D111" s="238"/>
      <c r="E111" s="238"/>
      <c r="F111" s="238"/>
      <c r="G111" s="238"/>
      <c r="H111" s="238"/>
      <c r="I111" s="238"/>
      <c r="J111" s="238"/>
      <c r="K111" s="238"/>
    </row>
    <row r="112" spans="1:11" ht="15.75" thickBot="1">
      <c r="A112" s="235"/>
      <c r="B112" s="1366" t="s">
        <v>46</v>
      </c>
      <c r="C112" s="1367"/>
      <c r="D112" s="1367"/>
      <c r="E112" s="1368"/>
      <c r="F112" s="238"/>
      <c r="G112" s="238"/>
      <c r="H112" s="238"/>
      <c r="I112" s="238"/>
      <c r="J112" s="238"/>
      <c r="K112" s="238"/>
    </row>
    <row r="113" spans="1:11" ht="60.75" thickBot="1">
      <c r="A113" s="235"/>
      <c r="B113" s="1369">
        <v>1</v>
      </c>
      <c r="C113" s="261"/>
      <c r="D113" s="278" t="s">
        <v>39</v>
      </c>
      <c r="E113" s="573" t="s">
        <v>47</v>
      </c>
      <c r="F113" s="238"/>
      <c r="G113" s="238"/>
      <c r="H113" s="238"/>
      <c r="I113" s="238"/>
      <c r="J113" s="238"/>
      <c r="K113" s="238"/>
    </row>
    <row r="114" spans="1:11" ht="84.75" thickBot="1">
      <c r="A114" s="235"/>
      <c r="B114" s="1370"/>
      <c r="C114" s="261"/>
      <c r="D114" s="267" t="s">
        <v>40</v>
      </c>
      <c r="E114" s="573" t="s">
        <v>160</v>
      </c>
      <c r="F114" s="238"/>
      <c r="G114" s="238"/>
      <c r="H114" s="238"/>
      <c r="I114" s="238"/>
      <c r="J114" s="238"/>
      <c r="K114" s="238"/>
    </row>
    <row r="115" spans="1:11" ht="15.75" thickBot="1">
      <c r="A115" s="235"/>
      <c r="B115" s="1370"/>
      <c r="C115" s="261"/>
      <c r="D115" s="267" t="s">
        <v>41</v>
      </c>
      <c r="E115" s="291"/>
      <c r="F115" s="238"/>
      <c r="G115" s="238"/>
      <c r="H115" s="238"/>
      <c r="I115" s="238"/>
      <c r="J115" s="238"/>
      <c r="K115" s="238"/>
    </row>
    <row r="116" spans="1:11" ht="15.75" thickBot="1">
      <c r="A116" s="235"/>
      <c r="B116" s="1370"/>
      <c r="C116" s="261"/>
      <c r="D116" s="267" t="s">
        <v>42</v>
      </c>
      <c r="E116" s="291"/>
      <c r="F116" s="238"/>
      <c r="G116" s="238"/>
      <c r="H116" s="238"/>
      <c r="I116" s="238"/>
      <c r="J116" s="238"/>
      <c r="K116" s="238"/>
    </row>
    <row r="117" spans="1:11" ht="15.75" thickBot="1">
      <c r="A117" s="235"/>
      <c r="B117" s="1370"/>
      <c r="C117" s="261"/>
      <c r="D117" s="267" t="s">
        <v>43</v>
      </c>
      <c r="E117" s="291"/>
      <c r="F117" s="238"/>
      <c r="G117" s="238"/>
      <c r="H117" s="238"/>
      <c r="I117" s="238"/>
      <c r="J117" s="238"/>
      <c r="K117" s="238"/>
    </row>
    <row r="118" spans="1:11" ht="15.75" thickBot="1">
      <c r="A118" s="235"/>
      <c r="B118" s="1370"/>
      <c r="C118" s="261"/>
      <c r="D118" s="267" t="s">
        <v>44</v>
      </c>
      <c r="E118" s="291"/>
      <c r="F118" s="238"/>
      <c r="G118" s="238"/>
      <c r="H118" s="238"/>
      <c r="I118" s="238"/>
      <c r="J118" s="238"/>
      <c r="K118" s="238"/>
    </row>
    <row r="119" spans="1:11" ht="15.75" thickBot="1">
      <c r="A119" s="235"/>
      <c r="B119" s="1371"/>
      <c r="C119" s="332"/>
      <c r="D119" s="267" t="s">
        <v>45</v>
      </c>
      <c r="E119" s="291"/>
      <c r="F119" s="238"/>
      <c r="G119" s="238"/>
      <c r="H119" s="238"/>
      <c r="I119" s="238"/>
      <c r="J119" s="238"/>
      <c r="K119" s="238"/>
    </row>
    <row r="120" spans="1:11" ht="15.75" thickBot="1">
      <c r="A120" s="235"/>
      <c r="B120" s="239"/>
      <c r="C120" s="240"/>
      <c r="D120" s="238"/>
      <c r="E120" s="238"/>
      <c r="F120" s="238"/>
      <c r="G120" s="238"/>
      <c r="H120" s="238"/>
      <c r="I120" s="238"/>
      <c r="J120" s="238"/>
      <c r="K120" s="238"/>
    </row>
    <row r="121" spans="1:11" ht="15" customHeight="1" thickBot="1">
      <c r="A121" s="235"/>
      <c r="B121" s="280" t="s">
        <v>49</v>
      </c>
      <c r="C121" s="281"/>
      <c r="D121" s="281"/>
      <c r="E121" s="282"/>
      <c r="F121" s="235"/>
      <c r="G121" s="238"/>
      <c r="H121" s="238"/>
      <c r="I121" s="238"/>
      <c r="J121" s="238"/>
      <c r="K121" s="238"/>
    </row>
    <row r="122" spans="1:11" ht="24.75" thickBot="1">
      <c r="A122" s="235"/>
      <c r="B122" s="274" t="s">
        <v>50</v>
      </c>
      <c r="C122" s="267" t="s">
        <v>51</v>
      </c>
      <c r="D122" s="267" t="s">
        <v>52</v>
      </c>
      <c r="E122" s="267" t="s">
        <v>53</v>
      </c>
      <c r="F122" s="238"/>
      <c r="G122" s="238"/>
      <c r="H122" s="238"/>
      <c r="I122" s="238"/>
      <c r="J122" s="238"/>
      <c r="K122" s="235"/>
    </row>
    <row r="123" spans="1:11" ht="96.75" thickBot="1">
      <c r="A123" s="235"/>
      <c r="B123" s="284">
        <v>42401</v>
      </c>
      <c r="C123" s="267">
        <v>0.01</v>
      </c>
      <c r="D123" s="285" t="s">
        <v>394</v>
      </c>
      <c r="E123" s="267"/>
      <c r="F123" s="238"/>
      <c r="G123" s="238"/>
      <c r="H123" s="238"/>
      <c r="I123" s="238"/>
      <c r="J123" s="238"/>
      <c r="K123" s="235"/>
    </row>
    <row r="124" spans="1:11" ht="15.75" thickBot="1">
      <c r="A124" s="235"/>
      <c r="B124" s="239"/>
      <c r="C124" s="240"/>
      <c r="D124" s="238"/>
      <c r="E124" s="238"/>
      <c r="F124" s="238"/>
      <c r="G124" s="238"/>
      <c r="H124" s="238"/>
      <c r="I124" s="238"/>
      <c r="J124" s="238"/>
      <c r="K124" s="238"/>
    </row>
    <row r="125" spans="1:11" ht="15.75" thickBot="1">
      <c r="A125" s="235"/>
      <c r="B125" s="323" t="s">
        <v>55</v>
      </c>
      <c r="C125" s="287"/>
      <c r="D125" s="238"/>
      <c r="E125" s="238"/>
      <c r="F125" s="238"/>
      <c r="G125" s="238"/>
      <c r="H125" s="238"/>
      <c r="I125" s="238"/>
      <c r="J125" s="238"/>
      <c r="K125" s="238"/>
    </row>
    <row r="126" spans="1:11">
      <c r="A126" s="235"/>
      <c r="B126" s="1485" t="s">
        <v>395</v>
      </c>
      <c r="C126" s="1486"/>
      <c r="D126" s="1486"/>
      <c r="E126" s="1486"/>
      <c r="F126" s="1486"/>
      <c r="G126" s="1486"/>
      <c r="H126" s="1486"/>
      <c r="I126" s="1486"/>
      <c r="J126" s="1486"/>
      <c r="K126" s="238"/>
    </row>
    <row r="127" spans="1:11" ht="24" customHeight="1">
      <c r="A127" s="235"/>
      <c r="B127" s="1485"/>
      <c r="C127" s="1486"/>
      <c r="D127" s="1486"/>
      <c r="E127" s="1486"/>
      <c r="F127" s="1486"/>
      <c r="G127" s="1486"/>
      <c r="H127" s="1486"/>
      <c r="I127" s="1486"/>
      <c r="J127" s="1486"/>
      <c r="K127" s="238"/>
    </row>
    <row r="128" spans="1:11">
      <c r="A128" s="235"/>
      <c r="B128" s="1487"/>
      <c r="C128" s="1488"/>
      <c r="D128" s="1488"/>
      <c r="E128" s="1488"/>
      <c r="F128" s="1488"/>
      <c r="G128" s="1488"/>
      <c r="H128" s="1488"/>
      <c r="I128" s="1488"/>
      <c r="J128" s="1488"/>
      <c r="K128" s="238"/>
    </row>
    <row r="129" spans="1:11" ht="15.75" thickBot="1">
      <c r="A129" s="235"/>
      <c r="B129" s="238"/>
      <c r="C129" s="254"/>
      <c r="D129" s="238"/>
      <c r="E129" s="238"/>
      <c r="F129" s="238"/>
      <c r="G129" s="238"/>
      <c r="H129" s="238"/>
      <c r="I129" s="238"/>
      <c r="J129" s="238"/>
      <c r="K129" s="238"/>
    </row>
    <row r="130" spans="1:11" ht="15.75" thickBot="1">
      <c r="A130" s="235"/>
      <c r="B130" s="1366" t="s">
        <v>56</v>
      </c>
      <c r="C130" s="1367"/>
      <c r="D130" s="1368"/>
      <c r="E130" s="238"/>
      <c r="F130" s="238"/>
      <c r="G130" s="238"/>
      <c r="H130" s="238"/>
      <c r="I130" s="238"/>
      <c r="J130" s="238"/>
      <c r="K130" s="238"/>
    </row>
    <row r="131" spans="1:11" ht="108.75" thickBot="1">
      <c r="A131" s="235"/>
      <c r="B131" s="274" t="s">
        <v>57</v>
      </c>
      <c r="C131" s="332"/>
      <c r="D131" s="267" t="s">
        <v>349</v>
      </c>
      <c r="E131" s="238"/>
      <c r="F131" s="238"/>
      <c r="G131" s="238"/>
      <c r="H131" s="238"/>
      <c r="I131" s="238"/>
      <c r="J131" s="238"/>
      <c r="K131" s="238"/>
    </row>
    <row r="132" spans="1:11">
      <c r="A132" s="235"/>
      <c r="B132" s="1369" t="s">
        <v>59</v>
      </c>
      <c r="C132" s="261"/>
      <c r="D132" s="300" t="s">
        <v>60</v>
      </c>
      <c r="E132" s="238"/>
      <c r="F132" s="238"/>
      <c r="G132" s="238"/>
      <c r="H132" s="238"/>
      <c r="I132" s="238"/>
      <c r="J132" s="238"/>
      <c r="K132" s="238"/>
    </row>
    <row r="133" spans="1:11" ht="84">
      <c r="A133" s="235"/>
      <c r="B133" s="1370"/>
      <c r="C133" s="261"/>
      <c r="D133" s="301" t="s">
        <v>350</v>
      </c>
      <c r="E133" s="238"/>
      <c r="F133" s="238"/>
      <c r="G133" s="238"/>
      <c r="H133" s="238"/>
      <c r="I133" s="238"/>
      <c r="J133" s="238"/>
      <c r="K133" s="238"/>
    </row>
    <row r="134" spans="1:11" ht="36">
      <c r="A134" s="235"/>
      <c r="B134" s="1370"/>
      <c r="C134" s="261"/>
      <c r="D134" s="301" t="s">
        <v>351</v>
      </c>
      <c r="E134" s="238"/>
      <c r="F134" s="238"/>
      <c r="G134" s="238"/>
      <c r="H134" s="238"/>
      <c r="I134" s="238"/>
      <c r="J134" s="238"/>
      <c r="K134" s="238"/>
    </row>
    <row r="135" spans="1:11">
      <c r="A135" s="235"/>
      <c r="B135" s="1370"/>
      <c r="C135" s="261"/>
      <c r="D135" s="300" t="s">
        <v>63</v>
      </c>
      <c r="E135" s="238"/>
      <c r="F135" s="238"/>
      <c r="G135" s="238"/>
      <c r="H135" s="238"/>
      <c r="I135" s="238"/>
      <c r="J135" s="238"/>
      <c r="K135" s="238"/>
    </row>
    <row r="136" spans="1:11">
      <c r="A136" s="235"/>
      <c r="B136" s="1370"/>
      <c r="C136" s="261"/>
      <c r="D136" s="301" t="s">
        <v>65</v>
      </c>
      <c r="E136" s="238"/>
      <c r="F136" s="238"/>
      <c r="G136" s="238"/>
      <c r="H136" s="238"/>
      <c r="I136" s="238"/>
      <c r="J136" s="238"/>
      <c r="K136" s="238"/>
    </row>
    <row r="137" spans="1:11">
      <c r="A137" s="235"/>
      <c r="B137" s="1370"/>
      <c r="C137" s="261"/>
      <c r="D137" s="301" t="s">
        <v>352</v>
      </c>
      <c r="E137" s="238"/>
      <c r="F137" s="238"/>
      <c r="G137" s="238"/>
      <c r="H137" s="238"/>
      <c r="I137" s="238"/>
      <c r="J137" s="238"/>
      <c r="K137" s="238"/>
    </row>
    <row r="138" spans="1:11">
      <c r="A138" s="235"/>
      <c r="B138" s="1370"/>
      <c r="C138" s="261"/>
      <c r="D138" s="300" t="s">
        <v>288</v>
      </c>
      <c r="E138" s="238"/>
      <c r="F138" s="238"/>
      <c r="G138" s="238"/>
      <c r="H138" s="238"/>
      <c r="I138" s="238"/>
      <c r="J138" s="238"/>
      <c r="K138" s="238"/>
    </row>
    <row r="139" spans="1:11" ht="36">
      <c r="A139" s="235"/>
      <c r="B139" s="1370"/>
      <c r="C139" s="261"/>
      <c r="D139" s="301" t="s">
        <v>353</v>
      </c>
      <c r="E139" s="238"/>
      <c r="F139" s="238"/>
      <c r="G139" s="238"/>
      <c r="H139" s="238"/>
      <c r="I139" s="238"/>
      <c r="J139" s="238"/>
      <c r="K139" s="238"/>
    </row>
    <row r="140" spans="1:11" ht="36">
      <c r="A140" s="235"/>
      <c r="B140" s="1370"/>
      <c r="C140" s="261"/>
      <c r="D140" s="301" t="s">
        <v>354</v>
      </c>
      <c r="E140" s="238"/>
      <c r="F140" s="238"/>
      <c r="G140" s="238"/>
      <c r="H140" s="238"/>
      <c r="I140" s="238"/>
      <c r="J140" s="238"/>
      <c r="K140" s="238"/>
    </row>
    <row r="141" spans="1:11" ht="15.75" thickBot="1">
      <c r="A141" s="235"/>
      <c r="B141" s="1371"/>
      <c r="C141" s="332"/>
      <c r="D141" s="267" t="s">
        <v>355</v>
      </c>
      <c r="E141" s="238"/>
      <c r="F141" s="238"/>
      <c r="G141" s="238"/>
      <c r="H141" s="238"/>
      <c r="I141" s="238"/>
      <c r="J141" s="238"/>
      <c r="K141" s="238"/>
    </row>
    <row r="142" spans="1:11" ht="24.75" thickBot="1">
      <c r="A142" s="235"/>
      <c r="B142" s="274" t="s">
        <v>72</v>
      </c>
      <c r="C142" s="332"/>
      <c r="D142" s="267"/>
      <c r="E142" s="238"/>
      <c r="F142" s="238"/>
      <c r="G142" s="238"/>
      <c r="H142" s="238"/>
      <c r="I142" s="238"/>
      <c r="J142" s="238"/>
      <c r="K142" s="238"/>
    </row>
    <row r="143" spans="1:11" ht="15.75" thickBot="1">
      <c r="A143" s="235"/>
      <c r="B143" s="306"/>
      <c r="C143" s="292"/>
      <c r="D143" s="238"/>
      <c r="E143" s="238"/>
      <c r="F143" s="238"/>
      <c r="G143" s="238"/>
      <c r="H143" s="238"/>
      <c r="I143" s="238"/>
      <c r="J143" s="238"/>
      <c r="K143" s="238"/>
    </row>
    <row r="144" spans="1:11" ht="108">
      <c r="A144" s="235"/>
      <c r="B144" s="1369" t="s">
        <v>73</v>
      </c>
      <c r="C144" s="331"/>
      <c r="D144" s="260" t="s">
        <v>356</v>
      </c>
      <c r="E144" s="238"/>
      <c r="F144" s="238"/>
      <c r="G144" s="238"/>
      <c r="H144" s="238"/>
      <c r="I144" s="238"/>
      <c r="J144" s="238"/>
      <c r="K144" s="238"/>
    </row>
    <row r="145" spans="1:11" ht="144">
      <c r="A145" s="235"/>
      <c r="B145" s="1370"/>
      <c r="C145" s="261"/>
      <c r="D145" s="301" t="s">
        <v>357</v>
      </c>
      <c r="E145" s="238"/>
      <c r="F145" s="238"/>
      <c r="G145" s="238"/>
      <c r="H145" s="238"/>
      <c r="I145" s="238"/>
      <c r="J145" s="238"/>
      <c r="K145" s="238"/>
    </row>
    <row r="146" spans="1:11" ht="192">
      <c r="A146" s="235"/>
      <c r="B146" s="1370"/>
      <c r="C146" s="261"/>
      <c r="D146" s="301" t="s">
        <v>358</v>
      </c>
      <c r="E146" s="238"/>
      <c r="F146" s="238"/>
      <c r="G146" s="238"/>
      <c r="H146" s="238"/>
      <c r="I146" s="238"/>
      <c r="J146" s="238"/>
      <c r="K146" s="238"/>
    </row>
    <row r="147" spans="1:11" ht="72">
      <c r="A147" s="235"/>
      <c r="B147" s="1370"/>
      <c r="C147" s="261"/>
      <c r="D147" s="301" t="s">
        <v>359</v>
      </c>
      <c r="E147" s="238"/>
      <c r="F147" s="238"/>
      <c r="G147" s="238"/>
      <c r="H147" s="238"/>
      <c r="I147" s="238"/>
      <c r="J147" s="238"/>
      <c r="K147" s="238"/>
    </row>
    <row r="148" spans="1:11" ht="120.75" thickBot="1">
      <c r="A148" s="235"/>
      <c r="B148" s="1371"/>
      <c r="C148" s="332"/>
      <c r="D148" s="267" t="s">
        <v>360</v>
      </c>
      <c r="E148" s="238"/>
      <c r="F148" s="238"/>
      <c r="G148" s="238"/>
      <c r="H148" s="238"/>
      <c r="I148" s="238"/>
      <c r="J148" s="238"/>
      <c r="K148" s="238"/>
    </row>
    <row r="149" spans="1:11">
      <c r="A149" s="235"/>
      <c r="B149" s="1369" t="s">
        <v>90</v>
      </c>
      <c r="C149" s="261"/>
      <c r="D149" s="300"/>
      <c r="E149" s="238"/>
      <c r="F149" s="238"/>
      <c r="G149" s="238"/>
      <c r="H149" s="238"/>
      <c r="I149" s="238"/>
      <c r="J149" s="238"/>
      <c r="K149" s="238"/>
    </row>
    <row r="150" spans="1:11" ht="36">
      <c r="A150" s="235"/>
      <c r="B150" s="1370"/>
      <c r="C150" s="261"/>
      <c r="D150" s="300" t="s">
        <v>348</v>
      </c>
      <c r="E150" s="238"/>
      <c r="F150" s="238"/>
      <c r="G150" s="238"/>
      <c r="H150" s="238"/>
      <c r="I150" s="238"/>
      <c r="J150" s="238"/>
      <c r="K150" s="238"/>
    </row>
    <row r="151" spans="1:11">
      <c r="A151" s="235"/>
      <c r="B151" s="1370"/>
      <c r="C151" s="261"/>
      <c r="D151" s="302"/>
      <c r="E151" s="238"/>
      <c r="F151" s="238"/>
      <c r="G151" s="238"/>
      <c r="H151" s="238"/>
      <c r="I151" s="238"/>
      <c r="J151" s="238"/>
      <c r="K151" s="238"/>
    </row>
    <row r="152" spans="1:11">
      <c r="A152" s="235"/>
      <c r="B152" s="1370"/>
      <c r="C152" s="261"/>
      <c r="D152" s="301" t="s">
        <v>91</v>
      </c>
      <c r="E152" s="238"/>
      <c r="F152" s="238"/>
      <c r="G152" s="238"/>
      <c r="H152" s="238"/>
      <c r="I152" s="238"/>
      <c r="J152" s="238"/>
      <c r="K152" s="238"/>
    </row>
    <row r="153" spans="1:11" ht="49.5">
      <c r="A153" s="235"/>
      <c r="B153" s="1370"/>
      <c r="C153" s="261"/>
      <c r="D153" s="301" t="s">
        <v>361</v>
      </c>
      <c r="E153" s="238"/>
      <c r="F153" s="238"/>
      <c r="G153" s="238"/>
      <c r="H153" s="238"/>
      <c r="I153" s="238"/>
      <c r="J153" s="238"/>
      <c r="K153" s="238"/>
    </row>
    <row r="154" spans="1:11" ht="49.5">
      <c r="A154" s="235"/>
      <c r="B154" s="1370"/>
      <c r="C154" s="261"/>
      <c r="D154" s="301" t="s">
        <v>362</v>
      </c>
      <c r="E154" s="238"/>
      <c r="F154" s="238"/>
      <c r="G154" s="238"/>
      <c r="H154" s="238"/>
      <c r="I154" s="238"/>
      <c r="J154" s="238"/>
      <c r="K154" s="238"/>
    </row>
    <row r="155" spans="1:11" ht="50.25" thickBot="1">
      <c r="A155" s="235"/>
      <c r="B155" s="1371"/>
      <c r="C155" s="332"/>
      <c r="D155" s="267" t="s">
        <v>363</v>
      </c>
      <c r="E155" s="238"/>
      <c r="F155" s="238"/>
      <c r="G155" s="238"/>
      <c r="H155" s="238"/>
      <c r="I155" s="238"/>
      <c r="J155" s="238"/>
      <c r="K155" s="238"/>
    </row>
  </sheetData>
  <sheetProtection insertRows="0"/>
  <mergeCells count="54">
    <mergeCell ref="A1:P1"/>
    <mergeCell ref="A2:P2"/>
    <mergeCell ref="A3:P3"/>
    <mergeCell ref="A4:D4"/>
    <mergeCell ref="A5:P5"/>
    <mergeCell ref="B103:E103"/>
    <mergeCell ref="B104:B110"/>
    <mergeCell ref="B112:E112"/>
    <mergeCell ref="D59:J59"/>
    <mergeCell ref="D60:J60"/>
    <mergeCell ref="D61:J61"/>
    <mergeCell ref="D70:J70"/>
    <mergeCell ref="D71:J71"/>
    <mergeCell ref="D72:J72"/>
    <mergeCell ref="I73:I74"/>
    <mergeCell ref="D73:D74"/>
    <mergeCell ref="E73:E74"/>
    <mergeCell ref="B16:B97"/>
    <mergeCell ref="D27:J27"/>
    <mergeCell ref="D36:J36"/>
    <mergeCell ref="D37:J37"/>
    <mergeCell ref="D50:J50"/>
    <mergeCell ref="D38:J38"/>
    <mergeCell ref="D47:J47"/>
    <mergeCell ref="F17:F18"/>
    <mergeCell ref="D25:I25"/>
    <mergeCell ref="E17:E18"/>
    <mergeCell ref="G17:G18"/>
    <mergeCell ref="B149:B155"/>
    <mergeCell ref="C17:C18"/>
    <mergeCell ref="D17:D18"/>
    <mergeCell ref="B113:B119"/>
    <mergeCell ref="D89:J89"/>
    <mergeCell ref="D90:J90"/>
    <mergeCell ref="D98:J98"/>
    <mergeCell ref="B99:B101"/>
    <mergeCell ref="D99:J99"/>
    <mergeCell ref="D100:J100"/>
    <mergeCell ref="D101:J101"/>
    <mergeCell ref="F73:F74"/>
    <mergeCell ref="G73:G74"/>
    <mergeCell ref="H73:H74"/>
    <mergeCell ref="D48:J48"/>
    <mergeCell ref="D49:J49"/>
    <mergeCell ref="B126:J127"/>
    <mergeCell ref="B128:J128"/>
    <mergeCell ref="B130:D130"/>
    <mergeCell ref="B132:B141"/>
    <mergeCell ref="B144:B148"/>
    <mergeCell ref="B11:D11"/>
    <mergeCell ref="E13:R13"/>
    <mergeCell ref="E14:R14"/>
    <mergeCell ref="F12:R12"/>
    <mergeCell ref="F11:R11"/>
  </mergeCells>
  <conditionalFormatting sqref="S11:S12">
    <cfRule type="expression" dxfId="111" priority="8">
      <formula>R11="NO SE REPORTA"</formula>
    </cfRule>
    <cfRule type="expression" dxfId="110" priority="9">
      <formula>R10="NO APLICA"</formula>
    </cfRule>
  </conditionalFormatting>
  <conditionalFormatting sqref="E13:R13">
    <cfRule type="expression" dxfId="109" priority="7">
      <formula>E12="SI SE REPORTA"</formula>
    </cfRule>
  </conditionalFormatting>
  <conditionalFormatting sqref="F12">
    <cfRule type="expression" dxfId="108" priority="1">
      <formula>E12="NO SE REPORTA"</formula>
    </cfRule>
    <cfRule type="expression" dxfId="107" priority="2">
      <formula>E11="NO APLICA"</formula>
    </cfRule>
  </conditionalFormatting>
  <conditionalFormatting sqref="F11">
    <cfRule type="expression" dxfId="106" priority="5">
      <formula>E11="NO SE REPORTA"</formula>
    </cfRule>
    <cfRule type="expression" dxfId="105" priority="6">
      <formula>E10="NO APLICA"</formula>
    </cfRule>
  </conditionalFormatting>
  <dataValidations count="6">
    <dataValidation type="whole" operator="greaterThanOrEqual" allowBlank="1" showErrorMessage="1" errorTitle="ERROR" error="Escriba un número igual o mayor que 0" promptTitle="ERROR" prompt="Escriba un número igual o mayor que 0" sqref="E29:H34 E23:F23 E19:F19 E52:H57">
      <formula1>0</formula1>
    </dataValidation>
    <dataValidation type="whole" operator="greaterThanOrEqual" allowBlank="1" showInputMessage="1" showErrorMessage="1" errorTitle="ERROR" error="Valor en HECTAREAS (sin decimales)_x000a_" sqref="E63:H68 E40:H45 G75:H88 F20:F22 E21:E22">
      <formula1>0</formula1>
    </dataValidation>
    <dataValidation allowBlank="1" showInputMessage="1" showErrorMessage="1" promptTitle="ESTADO" prompt="en preparación_x000a_en aprestamiento_x000a_en declaración_x000a_Declarado" sqref="I75:I88"/>
    <dataValidation allowBlank="1" showInputMessage="1" showErrorMessage="1" sqref="I40 E46:H46 I52 E69:H69 I63 E58:H58 E24:F24 I29"/>
    <dataValidation type="list" allowBlank="1" showInputMessage="1" showErrorMessage="1" sqref="E12">
      <formula1>REPORTE</formula1>
    </dataValidation>
    <dataValidation type="list" allowBlank="1" showInputMessage="1" showErrorMessage="1" sqref="E11">
      <formula1>SI</formula1>
    </dataValidation>
  </dataValidations>
  <hyperlinks>
    <hyperlink ref="B10" location="'ANEXO 3'!A1" display="VOLVER AL INDICE"/>
    <hyperlink ref="E108" r:id="rId1"/>
  </hyperlinks>
  <pageMargins left="0.25" right="0.25" top="0.75" bottom="0.75" header="0.3" footer="0.3"/>
  <pageSetup paperSize="178" orientation="landscape" horizontalDpi="1200" verticalDpi="120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89"/>
  <sheetViews>
    <sheetView showGridLines="0" zoomScale="98" zoomScaleNormal="98" workbookViewId="0">
      <selection sqref="A1:P1"/>
    </sheetView>
  </sheetViews>
  <sheetFormatPr baseColWidth="10" defaultRowHeight="15"/>
  <cols>
    <col min="1" max="1" width="1.85546875" customWidth="1"/>
    <col min="2" max="2" width="12.85546875" customWidth="1"/>
    <col min="3" max="3" width="5" style="86" bestFit="1" customWidth="1"/>
    <col min="4" max="4" width="34.85546875" customWidth="1"/>
    <col min="5" max="5" width="12.140625" customWidth="1"/>
  </cols>
  <sheetData>
    <row r="1" spans="1:20" s="490" customFormat="1" ht="100.5" customHeight="1" thickBot="1">
      <c r="A1" s="1334"/>
      <c r="B1" s="1335"/>
      <c r="C1" s="1335"/>
      <c r="D1" s="1335"/>
      <c r="E1" s="1335"/>
      <c r="F1" s="1335"/>
      <c r="G1" s="1335"/>
      <c r="H1" s="1335"/>
      <c r="I1" s="1335"/>
      <c r="J1" s="1335"/>
      <c r="K1" s="1335"/>
      <c r="L1" s="1335"/>
      <c r="M1" s="1335"/>
      <c r="N1" s="1335"/>
      <c r="O1" s="1335"/>
      <c r="P1" s="1336"/>
      <c r="Q1" s="389"/>
      <c r="R1" s="389"/>
    </row>
    <row r="2" spans="1:20" s="491" customFormat="1" ht="16.5" thickBot="1">
      <c r="A2" s="1342" t="str">
        <f>'Datos Generales'!C5</f>
        <v>Corporación Autónoma Regional del Cesar – CORPOCESAR</v>
      </c>
      <c r="B2" s="1343"/>
      <c r="C2" s="1343"/>
      <c r="D2" s="1343"/>
      <c r="E2" s="1343"/>
      <c r="F2" s="1343"/>
      <c r="G2" s="1343"/>
      <c r="H2" s="1343"/>
      <c r="I2" s="1343"/>
      <c r="J2" s="1343"/>
      <c r="K2" s="1343"/>
      <c r="L2" s="1343"/>
      <c r="M2" s="1343"/>
      <c r="N2" s="1343"/>
      <c r="O2" s="1343"/>
      <c r="P2" s="1344"/>
      <c r="Q2" s="389"/>
      <c r="R2" s="389"/>
    </row>
    <row r="3" spans="1:20" s="491" customFormat="1" ht="16.5" thickBot="1">
      <c r="A3" s="1337" t="s">
        <v>1294</v>
      </c>
      <c r="B3" s="1338"/>
      <c r="C3" s="1338"/>
      <c r="D3" s="1338"/>
      <c r="E3" s="1338"/>
      <c r="F3" s="1338"/>
      <c r="G3" s="1338"/>
      <c r="H3" s="1338"/>
      <c r="I3" s="1338"/>
      <c r="J3" s="1338"/>
      <c r="K3" s="1338"/>
      <c r="L3" s="1338"/>
      <c r="M3" s="1338"/>
      <c r="N3" s="1338"/>
      <c r="O3" s="1338"/>
      <c r="P3" s="1339"/>
      <c r="Q3" s="389"/>
      <c r="R3" s="389"/>
    </row>
    <row r="4" spans="1:20" s="491" customFormat="1" ht="16.5" thickBot="1">
      <c r="A4" s="1340" t="s">
        <v>1293</v>
      </c>
      <c r="B4" s="1341"/>
      <c r="C4" s="1341"/>
      <c r="D4" s="1341"/>
      <c r="E4" s="498">
        <v>2022</v>
      </c>
      <c r="F4" s="498"/>
      <c r="G4" s="498"/>
      <c r="H4" s="498"/>
      <c r="I4" s="498"/>
      <c r="J4" s="498"/>
      <c r="K4" s="498"/>
      <c r="L4" s="499"/>
      <c r="M4" s="499"/>
      <c r="N4" s="499"/>
      <c r="O4" s="499"/>
      <c r="P4" s="500"/>
      <c r="Q4" s="389"/>
      <c r="R4" s="389"/>
    </row>
    <row r="5" spans="1:20" s="235" customFormat="1" ht="16.5" customHeight="1" thickBot="1">
      <c r="A5" s="1337" t="s">
        <v>396</v>
      </c>
      <c r="B5" s="1338"/>
      <c r="C5" s="1338"/>
      <c r="D5" s="1338"/>
      <c r="E5" s="1338"/>
      <c r="F5" s="1338"/>
      <c r="G5" s="1338"/>
      <c r="H5" s="1338"/>
      <c r="I5" s="1338"/>
      <c r="J5" s="1338"/>
      <c r="K5" s="1338"/>
      <c r="L5" s="1338"/>
      <c r="M5" s="1338"/>
      <c r="N5" s="1338"/>
      <c r="O5" s="1338"/>
      <c r="P5" s="1339"/>
    </row>
    <row r="6" spans="1:20">
      <c r="A6" s="235"/>
      <c r="B6" s="239" t="s">
        <v>1</v>
      </c>
      <c r="C6" s="240"/>
      <c r="D6" s="238"/>
      <c r="E6" s="248"/>
      <c r="F6" s="238" t="s">
        <v>128</v>
      </c>
      <c r="G6" s="238"/>
      <c r="H6" s="238"/>
      <c r="I6" s="238"/>
      <c r="J6" s="238"/>
      <c r="K6" s="238"/>
    </row>
    <row r="7" spans="1:20" ht="15.75" thickBot="1">
      <c r="A7" s="235"/>
      <c r="B7" s="241"/>
      <c r="C7" s="242"/>
      <c r="D7" s="238"/>
      <c r="E7" s="243"/>
      <c r="F7" s="238" t="s">
        <v>129</v>
      </c>
      <c r="G7" s="238"/>
      <c r="H7" s="238"/>
      <c r="I7" s="238"/>
      <c r="J7" s="238"/>
      <c r="K7" s="238"/>
    </row>
    <row r="8" spans="1:20" ht="15.75" thickBot="1">
      <c r="A8" s="235"/>
      <c r="B8" s="250" t="s">
        <v>1181</v>
      </c>
      <c r="C8" s="251">
        <v>2022</v>
      </c>
      <c r="D8" s="246">
        <v>0</v>
      </c>
      <c r="E8" s="253"/>
      <c r="F8" s="238" t="s">
        <v>130</v>
      </c>
      <c r="G8" s="238"/>
      <c r="H8" s="238"/>
      <c r="I8" s="238"/>
      <c r="J8" s="238"/>
      <c r="K8" s="238"/>
    </row>
    <row r="9" spans="1:20">
      <c r="A9" s="235"/>
      <c r="B9" s="462" t="s">
        <v>1182</v>
      </c>
      <c r="C9" s="254"/>
      <c r="D9" s="238"/>
      <c r="E9" s="238"/>
      <c r="F9" s="238"/>
      <c r="G9" s="238"/>
      <c r="H9" s="238"/>
      <c r="I9" s="238"/>
      <c r="J9" s="238"/>
      <c r="K9" s="238"/>
    </row>
    <row r="10" spans="1:20" s="389" customFormat="1">
      <c r="A10" s="235"/>
      <c r="B10" s="1392" t="s">
        <v>1236</v>
      </c>
      <c r="C10" s="1392"/>
      <c r="D10" s="1392"/>
      <c r="E10" s="468" t="s">
        <v>1233</v>
      </c>
      <c r="F10" s="1412" t="str">
        <f>'9RUNAP'!F11</f>
        <v>Acuerdo 005 del 22 de mayo de 2020 (Por medio del cual se aprueba el Plan de Accion Institucional 2020 -2023)</v>
      </c>
      <c r="G10" s="1412"/>
      <c r="H10" s="1412"/>
      <c r="I10" s="1412"/>
      <c r="J10" s="1412"/>
      <c r="K10" s="1412"/>
      <c r="L10" s="1412"/>
      <c r="M10" s="1412"/>
      <c r="N10" s="1412"/>
      <c r="O10" s="1412"/>
      <c r="P10" s="1412"/>
      <c r="Q10" s="1412"/>
      <c r="R10" s="1412"/>
      <c r="S10" s="464"/>
      <c r="T10" s="464"/>
    </row>
    <row r="11" spans="1:20" s="389" customFormat="1" ht="14.45" customHeight="1">
      <c r="A11" s="235"/>
      <c r="B11" s="465"/>
      <c r="C11" s="466"/>
      <c r="D11" s="467" t="str">
        <f>IF(E10="SI APLICA","¿El indicador no se reporta por limitaciones de información disponible? ","")</f>
        <v xml:space="preserve">¿El indicador no se reporta por limitaciones de información disponible? </v>
      </c>
      <c r="E11" s="469" t="s">
        <v>1235</v>
      </c>
      <c r="F11" s="1412"/>
      <c r="G11" s="1412"/>
      <c r="H11" s="1412"/>
      <c r="I11" s="1412"/>
      <c r="J11" s="1412"/>
      <c r="K11" s="1412"/>
      <c r="L11" s="1412"/>
      <c r="M11" s="1412"/>
      <c r="N11" s="1412"/>
      <c r="O11" s="1412"/>
      <c r="P11" s="1412"/>
      <c r="Q11" s="1412"/>
      <c r="R11" s="1412"/>
    </row>
    <row r="12" spans="1:20" s="389" customFormat="1" ht="34.5" customHeight="1">
      <c r="A12" s="235"/>
      <c r="B12" s="462"/>
      <c r="C12" s="292"/>
      <c r="D12" s="467" t="str">
        <f>IF(E11="SI SE REPORTA","¿Qué programas o proyectos del Plan de Acción están asociados al indicador? ","")</f>
        <v xml:space="preserve">¿Qué programas o proyectos del Plan de Acción están asociados al indicador? </v>
      </c>
      <c r="E12" s="1430" t="s">
        <v>2111</v>
      </c>
      <c r="F12" s="1430"/>
      <c r="G12" s="1430"/>
      <c r="H12" s="1430"/>
      <c r="I12" s="1430"/>
      <c r="J12" s="1430"/>
      <c r="K12" s="1430"/>
      <c r="L12" s="1430"/>
      <c r="M12" s="1430"/>
      <c r="N12" s="1430"/>
      <c r="O12" s="1430"/>
      <c r="P12" s="1430"/>
      <c r="Q12" s="1430"/>
      <c r="R12" s="1430"/>
    </row>
    <row r="13" spans="1:20" s="389" customFormat="1" ht="57" customHeight="1">
      <c r="A13" s="235"/>
      <c r="B13" s="462"/>
      <c r="C13" s="292"/>
      <c r="D13" s="467" t="s">
        <v>55</v>
      </c>
      <c r="E13" s="1395" t="s">
        <v>2145</v>
      </c>
      <c r="F13" s="1396"/>
      <c r="G13" s="1396"/>
      <c r="H13" s="1396"/>
      <c r="I13" s="1396"/>
      <c r="J13" s="1396"/>
      <c r="K13" s="1396"/>
      <c r="L13" s="1396"/>
      <c r="M13" s="1396"/>
      <c r="N13" s="1396"/>
      <c r="O13" s="1396"/>
      <c r="P13" s="1396"/>
      <c r="Q13" s="1396"/>
      <c r="R13" s="1397"/>
    </row>
    <row r="14" spans="1:20" s="389" customFormat="1" ht="6.95" customHeight="1" thickBot="1">
      <c r="A14" s="235"/>
      <c r="B14" s="462"/>
      <c r="C14" s="254"/>
      <c r="D14" s="238"/>
      <c r="E14" s="238"/>
      <c r="F14" s="238"/>
      <c r="G14" s="238"/>
      <c r="H14" s="238"/>
      <c r="I14" s="238"/>
      <c r="J14" s="238"/>
      <c r="K14" s="238"/>
    </row>
    <row r="15" spans="1:20" ht="15.75" thickTop="1">
      <c r="A15" s="235"/>
      <c r="B15" s="1497" t="s">
        <v>2</v>
      </c>
      <c r="C15" s="257"/>
      <c r="D15" s="1351" t="s">
        <v>336</v>
      </c>
      <c r="E15" s="1352"/>
      <c r="F15" s="1352"/>
      <c r="G15" s="1352"/>
      <c r="H15" s="1352"/>
      <c r="I15" s="1352"/>
      <c r="J15" s="1353"/>
      <c r="K15" s="238"/>
    </row>
    <row r="16" spans="1:20" ht="15.75" thickBot="1">
      <c r="A16" s="235"/>
      <c r="B16" s="1370"/>
      <c r="C16" s="265"/>
      <c r="D16" s="1348" t="s">
        <v>411</v>
      </c>
      <c r="E16" s="1349"/>
      <c r="F16" s="1349"/>
      <c r="G16" s="1349"/>
      <c r="H16" s="1349"/>
      <c r="I16" s="1349"/>
      <c r="J16" s="1350"/>
      <c r="K16" s="238"/>
    </row>
    <row r="17" spans="1:11" ht="24.75" thickBot="1">
      <c r="A17" s="235"/>
      <c r="B17" s="1370"/>
      <c r="C17" s="261"/>
      <c r="D17" s="269" t="s">
        <v>412</v>
      </c>
      <c r="E17" s="276" t="s">
        <v>1340</v>
      </c>
      <c r="F17" s="269" t="s">
        <v>20</v>
      </c>
      <c r="G17" s="269" t="s">
        <v>21</v>
      </c>
      <c r="H17" s="269" t="s">
        <v>22</v>
      </c>
      <c r="I17" s="269" t="s">
        <v>23</v>
      </c>
      <c r="J17" s="269" t="s">
        <v>151</v>
      </c>
      <c r="K17" s="238"/>
    </row>
    <row r="18" spans="1:11" ht="36.75" thickBot="1">
      <c r="A18" s="235"/>
      <c r="B18" s="1370"/>
      <c r="C18" s="261"/>
      <c r="D18" s="267" t="s">
        <v>413</v>
      </c>
      <c r="E18" s="489">
        <v>1</v>
      </c>
      <c r="F18" s="208"/>
      <c r="G18" s="208">
        <v>2</v>
      </c>
      <c r="H18" s="208">
        <v>2</v>
      </c>
      <c r="I18" s="208"/>
      <c r="J18" s="272">
        <f>SUM(F18:I18)</f>
        <v>4</v>
      </c>
      <c r="K18" s="19"/>
    </row>
    <row r="19" spans="1:11" ht="36.75" thickBot="1">
      <c r="A19" s="235"/>
      <c r="B19" s="1370"/>
      <c r="C19" s="261"/>
      <c r="D19" s="267" t="s">
        <v>414</v>
      </c>
      <c r="E19" s="208">
        <v>0</v>
      </c>
      <c r="F19" s="208">
        <v>0</v>
      </c>
      <c r="G19" s="208">
        <v>0</v>
      </c>
      <c r="H19" s="208">
        <v>0</v>
      </c>
      <c r="I19" s="208"/>
      <c r="J19" s="272">
        <f>SUM(F19:I19)</f>
        <v>0</v>
      </c>
      <c r="K19" s="19"/>
    </row>
    <row r="20" spans="1:11" ht="36.75" thickBot="1">
      <c r="A20" s="235"/>
      <c r="B20" s="1370"/>
      <c r="C20" s="332"/>
      <c r="D20" s="267" t="s">
        <v>396</v>
      </c>
      <c r="E20" s="189">
        <f t="shared" ref="E20:J20" si="0">IFERROR(E19/E18,"N.A.")</f>
        <v>0</v>
      </c>
      <c r="F20" s="189" t="str">
        <f t="shared" si="0"/>
        <v>N.A.</v>
      </c>
      <c r="G20" s="189">
        <f t="shared" si="0"/>
        <v>0</v>
      </c>
      <c r="H20" s="189">
        <f t="shared" si="0"/>
        <v>0</v>
      </c>
      <c r="I20" s="189" t="str">
        <f t="shared" si="0"/>
        <v>N.A.</v>
      </c>
      <c r="J20" s="189">
        <f t="shared" si="0"/>
        <v>0</v>
      </c>
      <c r="K20" s="19"/>
    </row>
    <row r="21" spans="1:11" ht="24.75" customHeight="1" thickBot="1">
      <c r="A21" s="235"/>
      <c r="B21" s="325"/>
      <c r="C21" s="257"/>
      <c r="D21" s="1348" t="s">
        <v>1185</v>
      </c>
      <c r="E21" s="1349"/>
      <c r="F21" s="1349"/>
      <c r="G21" s="1349"/>
      <c r="H21" s="1349"/>
      <c r="I21" s="1349"/>
      <c r="J21" s="1350"/>
      <c r="K21" s="238"/>
    </row>
    <row r="22" spans="1:11" ht="24.75" thickBot="1">
      <c r="A22" s="235"/>
      <c r="B22" s="325"/>
      <c r="C22" s="265"/>
      <c r="D22" s="288" t="s">
        <v>1186</v>
      </c>
      <c r="E22" s="256" t="s">
        <v>1187</v>
      </c>
      <c r="F22" s="584" t="s">
        <v>387</v>
      </c>
      <c r="G22" s="384"/>
      <c r="H22" s="385"/>
      <c r="I22" s="385"/>
      <c r="J22" s="386"/>
      <c r="K22" s="238"/>
    </row>
    <row r="23" spans="1:11" s="192" customFormat="1" ht="48.75" thickBot="1">
      <c r="B23" s="227"/>
      <c r="C23" s="229"/>
      <c r="D23" s="377" t="s">
        <v>1396</v>
      </c>
      <c r="E23" s="517" t="s">
        <v>1480</v>
      </c>
      <c r="F23" s="585" t="s">
        <v>1483</v>
      </c>
      <c r="G23" s="378"/>
      <c r="H23" s="379"/>
      <c r="I23" s="379"/>
      <c r="J23" s="380"/>
      <c r="K23" s="19"/>
    </row>
    <row r="24" spans="1:11" s="192" customFormat="1" ht="48.75" thickBot="1">
      <c r="B24" s="227"/>
      <c r="C24" s="229"/>
      <c r="D24" s="377" t="s">
        <v>1481</v>
      </c>
      <c r="E24" s="324" t="s">
        <v>1480</v>
      </c>
      <c r="F24" s="585" t="s">
        <v>1482</v>
      </c>
      <c r="G24" s="378"/>
      <c r="H24" s="379"/>
      <c r="I24" s="379"/>
      <c r="J24" s="380"/>
      <c r="K24" s="19"/>
    </row>
    <row r="25" spans="1:11" s="192" customFormat="1" ht="15.75" hidden="1" thickBot="1">
      <c r="B25" s="227"/>
      <c r="C25" s="229"/>
      <c r="D25" s="377"/>
      <c r="E25" s="324"/>
      <c r="F25" s="324"/>
      <c r="G25" s="378"/>
      <c r="H25" s="379"/>
      <c r="I25" s="379"/>
      <c r="J25" s="380"/>
      <c r="K25" s="19"/>
    </row>
    <row r="26" spans="1:11" s="192" customFormat="1" ht="15.75" hidden="1" thickBot="1">
      <c r="B26" s="227"/>
      <c r="C26" s="229"/>
      <c r="D26" s="377"/>
      <c r="E26" s="324"/>
      <c r="F26" s="324"/>
      <c r="G26" s="378"/>
      <c r="H26" s="379"/>
      <c r="I26" s="379"/>
      <c r="J26" s="380"/>
      <c r="K26" s="19"/>
    </row>
    <row r="27" spans="1:11" s="192" customFormat="1" ht="15.75" hidden="1" thickBot="1">
      <c r="B27" s="227"/>
      <c r="C27" s="229"/>
      <c r="D27" s="377"/>
      <c r="E27" s="324"/>
      <c r="F27" s="324"/>
      <c r="G27" s="378"/>
      <c r="H27" s="379"/>
      <c r="I27" s="379"/>
      <c r="J27" s="380"/>
      <c r="K27" s="19"/>
    </row>
    <row r="28" spans="1:11" s="192" customFormat="1" ht="15.75" hidden="1" thickBot="1">
      <c r="B28" s="227"/>
      <c r="C28" s="229"/>
      <c r="D28" s="377"/>
      <c r="E28" s="324"/>
      <c r="F28" s="324"/>
      <c r="G28" s="378"/>
      <c r="H28" s="379"/>
      <c r="I28" s="379"/>
      <c r="J28" s="380"/>
      <c r="K28" s="19"/>
    </row>
    <row r="29" spans="1:11" s="192" customFormat="1" ht="15.75" hidden="1" thickBot="1">
      <c r="B29" s="227"/>
      <c r="C29" s="229"/>
      <c r="D29" s="377"/>
      <c r="E29" s="324"/>
      <c r="F29" s="324"/>
      <c r="G29" s="378"/>
      <c r="H29" s="379"/>
      <c r="I29" s="379"/>
      <c r="J29" s="380"/>
      <c r="K29" s="19"/>
    </row>
    <row r="30" spans="1:11" s="192" customFormat="1" ht="15.75" hidden="1" thickBot="1">
      <c r="B30" s="227"/>
      <c r="C30" s="229"/>
      <c r="D30" s="377"/>
      <c r="E30" s="324"/>
      <c r="F30" s="324"/>
      <c r="G30" s="378"/>
      <c r="H30" s="379"/>
      <c r="I30" s="379"/>
      <c r="J30" s="380"/>
      <c r="K30" s="19"/>
    </row>
    <row r="31" spans="1:11" s="192" customFormat="1" ht="15.75" hidden="1" thickBot="1">
      <c r="B31" s="227"/>
      <c r="C31" s="229"/>
      <c r="D31" s="377"/>
      <c r="E31" s="324"/>
      <c r="F31" s="324"/>
      <c r="G31" s="378"/>
      <c r="H31" s="379"/>
      <c r="I31" s="379"/>
      <c r="J31" s="380"/>
      <c r="K31" s="19"/>
    </row>
    <row r="32" spans="1:11" s="192" customFormat="1" ht="15.75" hidden="1" thickBot="1">
      <c r="B32" s="227"/>
      <c r="C32" s="229"/>
      <c r="D32" s="377"/>
      <c r="E32" s="324"/>
      <c r="F32" s="324"/>
      <c r="G32" s="378"/>
      <c r="H32" s="379"/>
      <c r="I32" s="379"/>
      <c r="J32" s="380"/>
      <c r="K32" s="19"/>
    </row>
    <row r="33" spans="1:11" s="192" customFormat="1" ht="15.75" hidden="1" thickBot="1">
      <c r="B33" s="227"/>
      <c r="C33" s="229"/>
      <c r="D33" s="31"/>
      <c r="E33" s="31"/>
      <c r="F33" s="31"/>
      <c r="G33" s="378"/>
      <c r="H33" s="379"/>
      <c r="I33" s="379"/>
      <c r="J33" s="380"/>
    </row>
    <row r="34" spans="1:11" s="192" customFormat="1" ht="15.75" hidden="1" thickBot="1">
      <c r="B34" s="227"/>
      <c r="C34" s="229"/>
      <c r="D34" s="31"/>
      <c r="E34" s="31"/>
      <c r="F34" s="31"/>
      <c r="G34" s="378"/>
      <c r="H34" s="379"/>
      <c r="I34" s="379"/>
      <c r="J34" s="380"/>
    </row>
    <row r="35" spans="1:11" s="192" customFormat="1" ht="15.75" hidden="1" thickBot="1">
      <c r="B35" s="228"/>
      <c r="C35" s="230"/>
      <c r="D35" s="31"/>
      <c r="E35" s="31"/>
      <c r="F35" s="31"/>
      <c r="G35" s="381"/>
      <c r="H35" s="382"/>
      <c r="I35" s="382"/>
      <c r="J35" s="383"/>
    </row>
    <row r="36" spans="1:11" ht="15.75" thickBot="1">
      <c r="A36" s="235"/>
      <c r="B36" s="274" t="s">
        <v>34</v>
      </c>
      <c r="C36" s="275"/>
      <c r="D36" s="1378" t="s">
        <v>415</v>
      </c>
      <c r="E36" s="1379"/>
      <c r="F36" s="1379"/>
      <c r="G36" s="1379"/>
      <c r="H36" s="1379"/>
      <c r="I36" s="1379"/>
      <c r="J36" s="1380"/>
      <c r="K36" s="235"/>
    </row>
    <row r="37" spans="1:11" ht="24.75" thickBot="1">
      <c r="A37" s="235"/>
      <c r="B37" s="274" t="s">
        <v>36</v>
      </c>
      <c r="C37" s="275"/>
      <c r="D37" s="1378" t="s">
        <v>346</v>
      </c>
      <c r="E37" s="1379"/>
      <c r="F37" s="1379"/>
      <c r="G37" s="1379"/>
      <c r="H37" s="1379"/>
      <c r="I37" s="1379"/>
      <c r="J37" s="1380"/>
      <c r="K37" s="235"/>
    </row>
    <row r="38" spans="1:11" ht="15.75" thickBot="1">
      <c r="A38" s="235"/>
      <c r="B38" s="359"/>
      <c r="C38" s="387"/>
      <c r="D38" s="359"/>
      <c r="E38" s="359"/>
      <c r="F38" s="359"/>
      <c r="G38" s="359"/>
      <c r="H38" s="359"/>
      <c r="I38" s="359"/>
      <c r="J38" s="359"/>
      <c r="K38" s="238"/>
    </row>
    <row r="39" spans="1:11" ht="24" customHeight="1" thickBot="1">
      <c r="A39" s="235"/>
      <c r="B39" s="1366" t="s">
        <v>38</v>
      </c>
      <c r="C39" s="1367"/>
      <c r="D39" s="1367"/>
      <c r="E39" s="1368"/>
      <c r="F39" s="238"/>
      <c r="G39" s="238"/>
      <c r="H39" s="238"/>
      <c r="I39" s="238"/>
      <c r="J39" s="238"/>
      <c r="K39" s="238"/>
    </row>
    <row r="40" spans="1:11" ht="15.75" thickBot="1">
      <c r="A40" s="235"/>
      <c r="B40" s="1369">
        <v>1</v>
      </c>
      <c r="C40" s="261"/>
      <c r="D40" s="278" t="s">
        <v>39</v>
      </c>
      <c r="E40" s="554"/>
      <c r="F40" s="238"/>
      <c r="G40" s="238"/>
      <c r="H40" s="238"/>
      <c r="I40" s="238"/>
      <c r="J40" s="238"/>
      <c r="K40" s="238"/>
    </row>
    <row r="41" spans="1:11" ht="36.75" thickBot="1">
      <c r="A41" s="235"/>
      <c r="B41" s="1370"/>
      <c r="C41" s="261"/>
      <c r="D41" s="267" t="s">
        <v>40</v>
      </c>
      <c r="E41" s="554" t="s">
        <v>1380</v>
      </c>
      <c r="F41" s="238"/>
      <c r="G41" s="238"/>
      <c r="H41" s="238"/>
      <c r="I41" s="238"/>
      <c r="J41" s="238"/>
      <c r="K41" s="238"/>
    </row>
    <row r="42" spans="1:11" ht="24.75" thickBot="1">
      <c r="A42" s="235"/>
      <c r="B42" s="1370"/>
      <c r="C42" s="261"/>
      <c r="D42" s="267" t="s">
        <v>41</v>
      </c>
      <c r="E42" s="554" t="s">
        <v>1392</v>
      </c>
      <c r="F42" s="238"/>
      <c r="G42" s="238"/>
      <c r="H42" s="238"/>
      <c r="I42" s="238"/>
      <c r="J42" s="238"/>
      <c r="K42" s="238"/>
    </row>
    <row r="43" spans="1:11" ht="24.75" thickBot="1">
      <c r="A43" s="235"/>
      <c r="B43" s="1370"/>
      <c r="C43" s="261"/>
      <c r="D43" s="267" t="s">
        <v>42</v>
      </c>
      <c r="E43" s="554" t="s">
        <v>1393</v>
      </c>
      <c r="F43" s="238"/>
      <c r="G43" s="238"/>
      <c r="H43" s="238"/>
      <c r="I43" s="238"/>
      <c r="J43" s="238"/>
      <c r="K43" s="238"/>
    </row>
    <row r="44" spans="1:11" ht="60.75" thickBot="1">
      <c r="A44" s="235"/>
      <c r="B44" s="1370"/>
      <c r="C44" s="261"/>
      <c r="D44" s="267" t="s">
        <v>43</v>
      </c>
      <c r="E44" s="579" t="s">
        <v>1394</v>
      </c>
      <c r="F44" s="238"/>
      <c r="G44" s="238"/>
      <c r="H44" s="238"/>
      <c r="I44" s="238"/>
      <c r="J44" s="238"/>
      <c r="K44" s="238"/>
    </row>
    <row r="45" spans="1:11" ht="15.75" thickBot="1">
      <c r="A45" s="235"/>
      <c r="B45" s="1370"/>
      <c r="C45" s="261"/>
      <c r="D45" s="267" t="s">
        <v>44</v>
      </c>
      <c r="E45" s="554">
        <v>5748960</v>
      </c>
      <c r="F45" s="238"/>
      <c r="G45" s="238"/>
      <c r="H45" s="238"/>
      <c r="I45" s="238"/>
      <c r="J45" s="238"/>
      <c r="K45" s="238"/>
    </row>
    <row r="46" spans="1:11" ht="24.75" thickBot="1">
      <c r="A46" s="235"/>
      <c r="B46" s="1371"/>
      <c r="C46" s="332"/>
      <c r="D46" s="267" t="s">
        <v>45</v>
      </c>
      <c r="E46" s="554" t="s">
        <v>1395</v>
      </c>
      <c r="F46" s="238"/>
      <c r="G46" s="238"/>
      <c r="H46" s="238"/>
      <c r="I46" s="238"/>
      <c r="J46" s="238"/>
      <c r="K46" s="238"/>
    </row>
    <row r="47" spans="1:11" ht="15.75" thickBot="1">
      <c r="A47" s="235"/>
      <c r="B47" s="239"/>
      <c r="C47" s="240"/>
      <c r="D47" s="238"/>
      <c r="E47" s="238"/>
      <c r="F47" s="238"/>
      <c r="G47" s="238"/>
      <c r="H47" s="238"/>
      <c r="I47" s="238"/>
      <c r="J47" s="238"/>
      <c r="K47" s="238"/>
    </row>
    <row r="48" spans="1:11" ht="15.75" thickBot="1">
      <c r="A48" s="235"/>
      <c r="B48" s="1366" t="s">
        <v>46</v>
      </c>
      <c r="C48" s="1367"/>
      <c r="D48" s="1367"/>
      <c r="E48" s="1368"/>
      <c r="F48" s="238"/>
      <c r="G48" s="238"/>
      <c r="H48" s="238"/>
      <c r="I48" s="238"/>
      <c r="J48" s="238"/>
      <c r="K48" s="238"/>
    </row>
    <row r="49" spans="1:11" ht="60.75" thickBot="1">
      <c r="A49" s="235"/>
      <c r="B49" s="1369">
        <v>1</v>
      </c>
      <c r="C49" s="261"/>
      <c r="D49" s="278" t="s">
        <v>39</v>
      </c>
      <c r="E49" s="573" t="s">
        <v>47</v>
      </c>
      <c r="F49" s="238"/>
      <c r="G49" s="238"/>
      <c r="H49" s="238"/>
      <c r="I49" s="238"/>
      <c r="J49" s="238"/>
      <c r="K49" s="238"/>
    </row>
    <row r="50" spans="1:11" ht="84.75" thickBot="1">
      <c r="A50" s="235"/>
      <c r="B50" s="1370"/>
      <c r="C50" s="261"/>
      <c r="D50" s="267" t="s">
        <v>40</v>
      </c>
      <c r="E50" s="573" t="s">
        <v>48</v>
      </c>
      <c r="F50" s="238"/>
      <c r="G50" s="238"/>
      <c r="H50" s="238"/>
      <c r="I50" s="238"/>
      <c r="J50" s="238"/>
      <c r="K50" s="238"/>
    </row>
    <row r="51" spans="1:11" ht="15.75" thickBot="1">
      <c r="A51" s="235"/>
      <c r="B51" s="1370"/>
      <c r="C51" s="261"/>
      <c r="D51" s="267" t="s">
        <v>41</v>
      </c>
      <c r="E51" s="303"/>
      <c r="F51" s="238"/>
      <c r="G51" s="238"/>
      <c r="H51" s="238"/>
      <c r="I51" s="238"/>
      <c r="J51" s="238"/>
      <c r="K51" s="238"/>
    </row>
    <row r="52" spans="1:11" ht="15.75" thickBot="1">
      <c r="A52" s="235"/>
      <c r="B52" s="1370"/>
      <c r="C52" s="261"/>
      <c r="D52" s="267" t="s">
        <v>42</v>
      </c>
      <c r="E52" s="303"/>
      <c r="F52" s="238"/>
      <c r="G52" s="238"/>
      <c r="H52" s="238"/>
      <c r="I52" s="238"/>
      <c r="J52" s="238"/>
      <c r="K52" s="238"/>
    </row>
    <row r="53" spans="1:11" ht="15.75" thickBot="1">
      <c r="A53" s="235"/>
      <c r="B53" s="1370"/>
      <c r="C53" s="261"/>
      <c r="D53" s="267" t="s">
        <v>43</v>
      </c>
      <c r="E53" s="303"/>
      <c r="F53" s="238"/>
      <c r="G53" s="238"/>
      <c r="H53" s="238"/>
      <c r="I53" s="238"/>
      <c r="J53" s="238"/>
      <c r="K53" s="238"/>
    </row>
    <row r="54" spans="1:11" ht="15.75" thickBot="1">
      <c r="A54" s="235"/>
      <c r="B54" s="1370"/>
      <c r="C54" s="261"/>
      <c r="D54" s="267" t="s">
        <v>44</v>
      </c>
      <c r="E54" s="303"/>
      <c r="F54" s="238"/>
      <c r="G54" s="238"/>
      <c r="H54" s="238"/>
      <c r="I54" s="238"/>
      <c r="J54" s="238"/>
      <c r="K54" s="238"/>
    </row>
    <row r="55" spans="1:11" ht="15.75" thickBot="1">
      <c r="A55" s="235"/>
      <c r="B55" s="1371"/>
      <c r="C55" s="332"/>
      <c r="D55" s="267" t="s">
        <v>45</v>
      </c>
      <c r="E55" s="303"/>
      <c r="F55" s="238"/>
      <c r="G55" s="238"/>
      <c r="H55" s="238"/>
      <c r="I55" s="238"/>
      <c r="J55" s="238"/>
      <c r="K55" s="238"/>
    </row>
    <row r="56" spans="1:11" ht="15.75" thickBot="1">
      <c r="A56" s="235"/>
      <c r="B56" s="239"/>
      <c r="C56" s="240"/>
      <c r="D56" s="238"/>
      <c r="E56" s="238"/>
      <c r="F56" s="238"/>
      <c r="G56" s="238"/>
      <c r="H56" s="238"/>
      <c r="I56" s="238"/>
      <c r="J56" s="238"/>
      <c r="K56" s="238"/>
    </row>
    <row r="57" spans="1:11" ht="15" customHeight="1" thickBot="1">
      <c r="A57" s="235"/>
      <c r="B57" s="277" t="s">
        <v>49</v>
      </c>
      <c r="C57" s="308"/>
      <c r="D57" s="308"/>
      <c r="E57" s="309"/>
      <c r="F57" s="235"/>
      <c r="G57" s="238"/>
      <c r="H57" s="238"/>
      <c r="I57" s="238"/>
      <c r="J57" s="238"/>
      <c r="K57" s="238"/>
    </row>
    <row r="58" spans="1:11" ht="24.75" thickBot="1">
      <c r="A58" s="235"/>
      <c r="B58" s="274" t="s">
        <v>50</v>
      </c>
      <c r="C58" s="267" t="s">
        <v>51</v>
      </c>
      <c r="D58" s="267" t="s">
        <v>52</v>
      </c>
      <c r="E58" s="267" t="s">
        <v>53</v>
      </c>
      <c r="F58" s="238"/>
      <c r="G58" s="238"/>
      <c r="H58" s="238"/>
      <c r="I58" s="238"/>
      <c r="J58" s="238"/>
      <c r="K58" s="235"/>
    </row>
    <row r="59" spans="1:11" ht="72.75" thickBot="1">
      <c r="A59" s="235"/>
      <c r="B59" s="284">
        <v>42401</v>
      </c>
      <c r="C59" s="267">
        <v>1</v>
      </c>
      <c r="D59" s="285" t="s">
        <v>416</v>
      </c>
      <c r="E59" s="267"/>
      <c r="F59" s="238"/>
      <c r="G59" s="238"/>
      <c r="H59" s="238"/>
      <c r="I59" s="238"/>
      <c r="J59" s="238"/>
      <c r="K59" s="235"/>
    </row>
    <row r="60" spans="1:11" ht="15.75" thickBot="1">
      <c r="A60" s="235"/>
      <c r="B60" s="239"/>
      <c r="C60" s="240"/>
      <c r="D60" s="238"/>
      <c r="E60" s="238"/>
      <c r="F60" s="238"/>
      <c r="G60" s="238"/>
      <c r="H60" s="238"/>
      <c r="I60" s="238"/>
      <c r="J60" s="238"/>
      <c r="K60" s="238"/>
    </row>
    <row r="61" spans="1:11" ht="15.75" thickBot="1">
      <c r="A61" s="235"/>
      <c r="B61" s="323" t="s">
        <v>417</v>
      </c>
      <c r="C61" s="287"/>
      <c r="D61" s="238"/>
      <c r="E61" s="238"/>
      <c r="F61" s="238"/>
      <c r="G61" s="238"/>
      <c r="H61" s="238"/>
      <c r="I61" s="238"/>
      <c r="J61" s="238"/>
      <c r="K61" s="238"/>
    </row>
    <row r="62" spans="1:11">
      <c r="A62" s="235"/>
      <c r="B62" s="1440"/>
      <c r="C62" s="1441"/>
      <c r="D62" s="1441"/>
      <c r="E62" s="238"/>
      <c r="F62" s="238"/>
      <c r="G62" s="238"/>
      <c r="H62" s="238"/>
      <c r="I62" s="238"/>
      <c r="J62" s="238"/>
      <c r="K62" s="238"/>
    </row>
    <row r="63" spans="1:11">
      <c r="A63" s="235"/>
      <c r="B63" s="1440"/>
      <c r="C63" s="1441"/>
      <c r="D63" s="1441"/>
      <c r="E63" s="238"/>
      <c r="F63" s="238"/>
      <c r="G63" s="238"/>
      <c r="H63" s="238"/>
      <c r="I63" s="238"/>
      <c r="J63" s="238"/>
      <c r="K63" s="238"/>
    </row>
    <row r="64" spans="1:11" ht="15.75" thickBot="1">
      <c r="A64" s="235"/>
      <c r="B64" s="238"/>
      <c r="C64" s="254"/>
      <c r="D64" s="238"/>
      <c r="E64" s="238"/>
      <c r="F64" s="238"/>
      <c r="G64" s="238"/>
      <c r="H64" s="238"/>
      <c r="I64" s="238"/>
      <c r="J64" s="238"/>
      <c r="K64" s="238"/>
    </row>
    <row r="65" spans="1:11" ht="15.75" thickBot="1">
      <c r="A65" s="235"/>
      <c r="B65" s="1366" t="s">
        <v>56</v>
      </c>
      <c r="C65" s="1367"/>
      <c r="D65" s="1368"/>
      <c r="E65" s="238"/>
      <c r="F65" s="238"/>
      <c r="G65" s="238"/>
      <c r="H65" s="238"/>
      <c r="I65" s="238"/>
      <c r="J65" s="238"/>
      <c r="K65" s="238"/>
    </row>
    <row r="66" spans="1:11" ht="60.75" thickBot="1">
      <c r="A66" s="235"/>
      <c r="B66" s="274" t="s">
        <v>57</v>
      </c>
      <c r="C66" s="332"/>
      <c r="D66" s="267" t="s">
        <v>397</v>
      </c>
      <c r="E66" s="238"/>
      <c r="F66" s="238"/>
      <c r="G66" s="238"/>
      <c r="H66" s="238"/>
      <c r="I66" s="238"/>
      <c r="J66" s="238"/>
      <c r="K66" s="238"/>
    </row>
    <row r="67" spans="1:11">
      <c r="A67" s="235"/>
      <c r="B67" s="1369" t="s">
        <v>59</v>
      </c>
      <c r="C67" s="261"/>
      <c r="D67" s="300" t="s">
        <v>60</v>
      </c>
      <c r="E67" s="238"/>
      <c r="F67" s="238"/>
      <c r="G67" s="238"/>
      <c r="H67" s="238"/>
      <c r="I67" s="238"/>
      <c r="J67" s="238"/>
      <c r="K67" s="238"/>
    </row>
    <row r="68" spans="1:11" ht="120">
      <c r="A68" s="235"/>
      <c r="B68" s="1370"/>
      <c r="C68" s="261"/>
      <c r="D68" s="301" t="s">
        <v>398</v>
      </c>
      <c r="E68" s="238"/>
      <c r="F68" s="238"/>
      <c r="G68" s="238"/>
      <c r="H68" s="238"/>
      <c r="I68" s="238"/>
      <c r="J68" s="238"/>
      <c r="K68" s="238"/>
    </row>
    <row r="69" spans="1:11">
      <c r="A69" s="235"/>
      <c r="B69" s="1370"/>
      <c r="C69" s="261"/>
      <c r="D69" s="300" t="s">
        <v>63</v>
      </c>
      <c r="E69" s="238"/>
      <c r="F69" s="238"/>
      <c r="G69" s="238"/>
      <c r="H69" s="238"/>
      <c r="I69" s="238"/>
      <c r="J69" s="238"/>
      <c r="K69" s="238"/>
    </row>
    <row r="70" spans="1:11">
      <c r="A70" s="235"/>
      <c r="B70" s="1370"/>
      <c r="C70" s="261"/>
      <c r="D70" s="301" t="s">
        <v>318</v>
      </c>
      <c r="E70" s="238"/>
      <c r="F70" s="238"/>
      <c r="G70" s="238"/>
      <c r="H70" s="238"/>
      <c r="I70" s="238"/>
      <c r="J70" s="238"/>
      <c r="K70" s="238"/>
    </row>
    <row r="71" spans="1:11">
      <c r="A71" s="235"/>
      <c r="B71" s="1370"/>
      <c r="C71" s="261"/>
      <c r="D71" s="301" t="s">
        <v>399</v>
      </c>
      <c r="E71" s="238"/>
      <c r="F71" s="238"/>
      <c r="G71" s="238"/>
      <c r="H71" s="238"/>
      <c r="I71" s="238"/>
      <c r="J71" s="238"/>
      <c r="K71" s="238"/>
    </row>
    <row r="72" spans="1:11">
      <c r="A72" s="235"/>
      <c r="B72" s="1370"/>
      <c r="C72" s="261"/>
      <c r="D72" s="301" t="s">
        <v>165</v>
      </c>
      <c r="E72" s="238"/>
      <c r="F72" s="238"/>
      <c r="G72" s="238"/>
      <c r="H72" s="238"/>
      <c r="I72" s="238"/>
      <c r="J72" s="238"/>
      <c r="K72" s="238"/>
    </row>
    <row r="73" spans="1:11">
      <c r="A73" s="235"/>
      <c r="B73" s="1370"/>
      <c r="C73" s="261"/>
      <c r="D73" s="301" t="s">
        <v>400</v>
      </c>
      <c r="E73" s="238"/>
      <c r="F73" s="238"/>
      <c r="G73" s="238"/>
      <c r="H73" s="238"/>
      <c r="I73" s="238"/>
      <c r="J73" s="238"/>
      <c r="K73" s="238"/>
    </row>
    <row r="74" spans="1:11">
      <c r="A74" s="235"/>
      <c r="B74" s="1370"/>
      <c r="C74" s="261"/>
      <c r="D74" s="301" t="s">
        <v>401</v>
      </c>
      <c r="E74" s="238"/>
      <c r="F74" s="238"/>
      <c r="G74" s="238"/>
      <c r="H74" s="238"/>
      <c r="I74" s="238"/>
      <c r="J74" s="238"/>
      <c r="K74" s="238"/>
    </row>
    <row r="75" spans="1:11">
      <c r="A75" s="235"/>
      <c r="B75" s="1370"/>
      <c r="C75" s="261"/>
      <c r="D75" s="301" t="s">
        <v>402</v>
      </c>
      <c r="E75" s="238"/>
      <c r="F75" s="238"/>
      <c r="G75" s="238"/>
      <c r="H75" s="238"/>
      <c r="I75" s="238"/>
      <c r="J75" s="238"/>
      <c r="K75" s="238"/>
    </row>
    <row r="76" spans="1:11">
      <c r="A76" s="235"/>
      <c r="B76" s="1370"/>
      <c r="C76" s="261"/>
      <c r="D76" s="301" t="s">
        <v>403</v>
      </c>
      <c r="E76" s="238"/>
      <c r="F76" s="238"/>
      <c r="G76" s="238"/>
      <c r="H76" s="238"/>
      <c r="I76" s="238"/>
      <c r="J76" s="238"/>
      <c r="K76" s="238"/>
    </row>
    <row r="77" spans="1:11">
      <c r="A77" s="235"/>
      <c r="B77" s="1370"/>
      <c r="C77" s="261"/>
      <c r="D77" s="300" t="s">
        <v>288</v>
      </c>
      <c r="E77" s="238"/>
      <c r="F77" s="238"/>
      <c r="G77" s="238"/>
      <c r="H77" s="238"/>
      <c r="I77" s="238"/>
      <c r="J77" s="238"/>
      <c r="K77" s="238"/>
    </row>
    <row r="78" spans="1:11" ht="36.75" thickBot="1">
      <c r="A78" s="235"/>
      <c r="B78" s="1371"/>
      <c r="C78" s="332"/>
      <c r="D78" s="267" t="s">
        <v>353</v>
      </c>
      <c r="E78" s="238"/>
      <c r="F78" s="238"/>
      <c r="G78" s="238"/>
      <c r="H78" s="238"/>
      <c r="I78" s="238"/>
      <c r="J78" s="238"/>
      <c r="K78" s="238"/>
    </row>
    <row r="79" spans="1:11" ht="24.75" thickBot="1">
      <c r="A79" s="235"/>
      <c r="B79" s="274" t="s">
        <v>72</v>
      </c>
      <c r="C79" s="332"/>
      <c r="D79" s="267"/>
      <c r="E79" s="238"/>
      <c r="F79" s="238"/>
      <c r="G79" s="238"/>
      <c r="H79" s="238"/>
      <c r="I79" s="238"/>
      <c r="J79" s="238"/>
      <c r="K79" s="238"/>
    </row>
    <row r="80" spans="1:11" ht="144">
      <c r="A80" s="235"/>
      <c r="B80" s="1369" t="s">
        <v>73</v>
      </c>
      <c r="C80" s="261"/>
      <c r="D80" s="301" t="s">
        <v>404</v>
      </c>
      <c r="E80" s="238"/>
      <c r="F80" s="238"/>
      <c r="G80" s="238"/>
      <c r="H80" s="238"/>
      <c r="I80" s="238"/>
      <c r="J80" s="238"/>
      <c r="K80" s="238"/>
    </row>
    <row r="81" spans="1:11" ht="72">
      <c r="A81" s="235"/>
      <c r="B81" s="1370"/>
      <c r="C81" s="261"/>
      <c r="D81" s="301" t="s">
        <v>405</v>
      </c>
      <c r="E81" s="238"/>
      <c r="F81" s="238"/>
      <c r="G81" s="238"/>
      <c r="H81" s="238"/>
      <c r="I81" s="238"/>
      <c r="J81" s="238"/>
      <c r="K81" s="238"/>
    </row>
    <row r="82" spans="1:11" ht="84">
      <c r="A82" s="235"/>
      <c r="B82" s="1370"/>
      <c r="C82" s="261"/>
      <c r="D82" s="301" t="s">
        <v>406</v>
      </c>
      <c r="E82" s="238"/>
      <c r="F82" s="238"/>
      <c r="G82" s="238"/>
      <c r="H82" s="238"/>
      <c r="I82" s="238"/>
      <c r="J82" s="238"/>
      <c r="K82" s="238"/>
    </row>
    <row r="83" spans="1:11" ht="108.75" thickBot="1">
      <c r="A83" s="235"/>
      <c r="B83" s="1371"/>
      <c r="C83" s="332"/>
      <c r="D83" s="267" t="s">
        <v>407</v>
      </c>
      <c r="E83" s="238"/>
      <c r="F83" s="238"/>
      <c r="G83" s="238"/>
      <c r="H83" s="238"/>
      <c r="I83" s="238"/>
      <c r="J83" s="238"/>
      <c r="K83" s="238"/>
    </row>
    <row r="84" spans="1:11" ht="36">
      <c r="A84" s="235"/>
      <c r="B84" s="1369" t="s">
        <v>90</v>
      </c>
      <c r="C84" s="261"/>
      <c r="D84" s="300" t="s">
        <v>396</v>
      </c>
      <c r="E84" s="238"/>
      <c r="F84" s="238"/>
      <c r="G84" s="238"/>
      <c r="H84" s="238"/>
      <c r="I84" s="238"/>
      <c r="J84" s="238"/>
      <c r="K84" s="238"/>
    </row>
    <row r="85" spans="1:11">
      <c r="A85" s="235"/>
      <c r="B85" s="1370"/>
      <c r="C85" s="261"/>
      <c r="D85" s="302"/>
      <c r="E85" s="238"/>
      <c r="F85" s="238"/>
      <c r="G85" s="238"/>
      <c r="H85" s="238"/>
      <c r="I85" s="238"/>
      <c r="J85" s="238"/>
      <c r="K85" s="238"/>
    </row>
    <row r="86" spans="1:11">
      <c r="A86" s="235"/>
      <c r="B86" s="1370"/>
      <c r="C86" s="261"/>
      <c r="D86" s="301" t="s">
        <v>91</v>
      </c>
      <c r="E86" s="238"/>
      <c r="F86" s="238"/>
      <c r="G86" s="238"/>
      <c r="H86" s="238"/>
      <c r="I86" s="238"/>
      <c r="J86" s="238"/>
      <c r="K86" s="238"/>
    </row>
    <row r="87" spans="1:11" ht="61.5">
      <c r="A87" s="235"/>
      <c r="B87" s="1370"/>
      <c r="C87" s="261"/>
      <c r="D87" s="301" t="s">
        <v>408</v>
      </c>
      <c r="E87" s="238"/>
      <c r="F87" s="238"/>
      <c r="G87" s="238"/>
      <c r="H87" s="238"/>
      <c r="I87" s="238"/>
      <c r="J87" s="238"/>
      <c r="K87" s="238"/>
    </row>
    <row r="88" spans="1:11" ht="61.5">
      <c r="A88" s="235"/>
      <c r="B88" s="1370"/>
      <c r="C88" s="261"/>
      <c r="D88" s="301" t="s">
        <v>409</v>
      </c>
      <c r="E88" s="238"/>
      <c r="F88" s="238"/>
      <c r="G88" s="238"/>
      <c r="H88" s="238"/>
      <c r="I88" s="238"/>
      <c r="J88" s="238"/>
      <c r="K88" s="238"/>
    </row>
    <row r="89" spans="1:11" ht="38.25" thickBot="1">
      <c r="A89" s="235"/>
      <c r="B89" s="1371"/>
      <c r="C89" s="332"/>
      <c r="D89" s="267" t="s">
        <v>410</v>
      </c>
      <c r="E89" s="238"/>
      <c r="F89" s="238"/>
      <c r="G89" s="238"/>
      <c r="H89" s="238"/>
      <c r="I89" s="238"/>
      <c r="J89" s="238"/>
      <c r="K89" s="238"/>
    </row>
  </sheetData>
  <mergeCells count="25">
    <mergeCell ref="A1:P1"/>
    <mergeCell ref="A2:P2"/>
    <mergeCell ref="A3:P3"/>
    <mergeCell ref="A4:D4"/>
    <mergeCell ref="A5:P5"/>
    <mergeCell ref="B84:B89"/>
    <mergeCell ref="B15:B20"/>
    <mergeCell ref="D15:J15"/>
    <mergeCell ref="D16:J16"/>
    <mergeCell ref="D36:J36"/>
    <mergeCell ref="D37:J37"/>
    <mergeCell ref="B39:E39"/>
    <mergeCell ref="B40:B46"/>
    <mergeCell ref="B48:E48"/>
    <mergeCell ref="B49:B55"/>
    <mergeCell ref="B62:D63"/>
    <mergeCell ref="D21:J21"/>
    <mergeCell ref="B65:D65"/>
    <mergeCell ref="B67:B78"/>
    <mergeCell ref="B80:B83"/>
    <mergeCell ref="B10:D10"/>
    <mergeCell ref="F10:R10"/>
    <mergeCell ref="F11:R11"/>
    <mergeCell ref="E12:R12"/>
    <mergeCell ref="E13:R13"/>
  </mergeCells>
  <conditionalFormatting sqref="F11:R11">
    <cfRule type="expression" dxfId="104" priority="4">
      <formula>E11="NO SE REPORTA"</formula>
    </cfRule>
    <cfRule type="expression" dxfId="103" priority="5">
      <formula>E10="NO APLICA"</formula>
    </cfRule>
  </conditionalFormatting>
  <conditionalFormatting sqref="E12:R12">
    <cfRule type="expression" dxfId="102" priority="3">
      <formula>E11="SI SE REPORTA"</formula>
    </cfRule>
  </conditionalFormatting>
  <conditionalFormatting sqref="F10:R10">
    <cfRule type="expression" dxfId="101" priority="1">
      <formula>E10="NO SE REPORTA"</formula>
    </cfRule>
    <cfRule type="expression" dxfId="100" priority="2">
      <formula>E9="NO APLICA"</formula>
    </cfRule>
  </conditionalFormatting>
  <dataValidations count="6">
    <dataValidation type="whole" operator="greaterThanOrEqual" allowBlank="1" showErrorMessage="1" errorTitle="ERROR" error="Escriba un número igual o mayor que 0" promptTitle="ERROR" prompt="Escriba un número igual o mayor que 0" sqref="E18:I19">
      <formula1>0</formula1>
    </dataValidation>
    <dataValidation allowBlank="1" showInputMessage="1" showErrorMessage="1" promptTitle="OJO" prompt="NO TOCAR" sqref="E20:J20 J18:J19"/>
    <dataValidation type="whole" operator="greaterThanOrEqual" allowBlank="1" showInputMessage="1" showErrorMessage="1" errorTitle="ERROR" error="Valor en HECTAREAS (sin decimales)_x000a_" sqref="G38:H38">
      <formula1>0</formula1>
    </dataValidation>
    <dataValidation allowBlank="1" showInputMessage="1" showErrorMessage="1" promptTitle="ESTADO" prompt="en preparación_x000a_en aprestamiento_x000a_en declaración_x000a_Declarado" sqref="I38"/>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44" r:id="rId1"/>
  </hyperlinks>
  <pageMargins left="0.25" right="0.25" top="0.75" bottom="0.75" header="0.3" footer="0.3"/>
  <pageSetup paperSize="178" orientation="landscape" horizontalDpi="1200" verticalDpi="1200"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184"/>
  <sheetViews>
    <sheetView showGridLines="0" zoomScale="91" zoomScaleNormal="91" workbookViewId="0">
      <selection activeCell="H16" sqref="H16"/>
    </sheetView>
  </sheetViews>
  <sheetFormatPr baseColWidth="10" defaultRowHeight="15"/>
  <cols>
    <col min="1" max="1" width="1.85546875" style="586" customWidth="1"/>
    <col min="2" max="2" width="12.85546875" style="586" customWidth="1"/>
    <col min="3" max="3" width="5" style="614" bestFit="1" customWidth="1"/>
    <col min="4" max="4" width="34.85546875" style="586" customWidth="1"/>
    <col min="5" max="5" width="18" style="586" customWidth="1"/>
    <col min="6" max="10" width="11.42578125" style="586"/>
    <col min="11" max="11" width="11.5703125" style="586"/>
    <col min="12" max="12" width="23" style="586" customWidth="1"/>
    <col min="13" max="13" width="11" style="586" customWidth="1"/>
    <col min="14" max="16" width="8.85546875" style="586" customWidth="1"/>
    <col min="17" max="16384" width="11.42578125" style="586"/>
  </cols>
  <sheetData>
    <row r="1" spans="1:21" s="490" customFormat="1" ht="100.5" customHeight="1" thickBot="1">
      <c r="A1" s="1334"/>
      <c r="B1" s="1335"/>
      <c r="C1" s="1335"/>
      <c r="D1" s="1335"/>
      <c r="E1" s="1335"/>
      <c r="F1" s="1335"/>
      <c r="G1" s="1335"/>
      <c r="H1" s="1335"/>
      <c r="I1" s="1335"/>
      <c r="J1" s="1335"/>
      <c r="K1" s="1335"/>
      <c r="L1" s="1335"/>
      <c r="M1" s="1335"/>
      <c r="N1" s="1335"/>
      <c r="O1" s="1335"/>
      <c r="P1" s="1336"/>
      <c r="Q1" s="586"/>
      <c r="R1" s="586"/>
    </row>
    <row r="2" spans="1:21" s="587" customFormat="1" ht="16.5" thickBot="1">
      <c r="A2" s="1342" t="str">
        <f>'Datos Generales'!C5</f>
        <v>Corporación Autónoma Regional del Cesar – CORPOCESAR</v>
      </c>
      <c r="B2" s="1343"/>
      <c r="C2" s="1343"/>
      <c r="D2" s="1343"/>
      <c r="E2" s="1343"/>
      <c r="F2" s="1343"/>
      <c r="G2" s="1343"/>
      <c r="H2" s="1343"/>
      <c r="I2" s="1343"/>
      <c r="J2" s="1343"/>
      <c r="K2" s="1343"/>
      <c r="L2" s="1343"/>
      <c r="M2" s="1343"/>
      <c r="N2" s="1343"/>
      <c r="O2" s="1343"/>
      <c r="P2" s="1344"/>
      <c r="Q2" s="586"/>
      <c r="R2" s="586"/>
    </row>
    <row r="3" spans="1:21" s="587" customFormat="1" ht="16.5" thickBot="1">
      <c r="A3" s="1337" t="s">
        <v>1294</v>
      </c>
      <c r="B3" s="1338"/>
      <c r="C3" s="1338"/>
      <c r="D3" s="1338"/>
      <c r="E3" s="1338"/>
      <c r="F3" s="1338"/>
      <c r="G3" s="1338"/>
      <c r="H3" s="1338"/>
      <c r="I3" s="1338"/>
      <c r="J3" s="1338"/>
      <c r="K3" s="1338"/>
      <c r="L3" s="1338"/>
      <c r="M3" s="1338"/>
      <c r="N3" s="1338"/>
      <c r="O3" s="1338"/>
      <c r="P3" s="1339"/>
      <c r="Q3" s="586"/>
      <c r="R3" s="586"/>
    </row>
    <row r="4" spans="1:21" s="587" customFormat="1" ht="16.5" thickBot="1">
      <c r="A4" s="1340" t="s">
        <v>1293</v>
      </c>
      <c r="B4" s="1341"/>
      <c r="C4" s="1341"/>
      <c r="D4" s="1341"/>
      <c r="E4" s="498">
        <v>2022</v>
      </c>
      <c r="F4" s="498"/>
      <c r="G4" s="498"/>
      <c r="H4" s="498"/>
      <c r="I4" s="498"/>
      <c r="J4" s="498"/>
      <c r="K4" s="498"/>
      <c r="L4" s="499"/>
      <c r="M4" s="499"/>
      <c r="N4" s="499"/>
      <c r="O4" s="499"/>
      <c r="P4" s="500"/>
      <c r="Q4" s="586"/>
      <c r="R4" s="586"/>
    </row>
    <row r="5" spans="1:21" s="588" customFormat="1" ht="16.5" customHeight="1" thickBot="1">
      <c r="A5" s="1337" t="s">
        <v>418</v>
      </c>
      <c r="B5" s="1338"/>
      <c r="C5" s="1338"/>
      <c r="D5" s="1338"/>
      <c r="E5" s="1338"/>
      <c r="F5" s="1338"/>
      <c r="G5" s="1338"/>
      <c r="H5" s="1338"/>
      <c r="I5" s="1338"/>
      <c r="J5" s="1338"/>
      <c r="K5" s="1338"/>
      <c r="L5" s="1338"/>
      <c r="M5" s="1338"/>
      <c r="N5" s="1338"/>
      <c r="O5" s="1338"/>
      <c r="P5" s="1339"/>
    </row>
    <row r="6" spans="1:21" ht="26.25" customHeight="1">
      <c r="B6" s="2" t="s">
        <v>1</v>
      </c>
      <c r="C6" s="589"/>
      <c r="D6" s="590"/>
      <c r="E6" s="591"/>
      <c r="F6" s="6" t="s">
        <v>128</v>
      </c>
      <c r="G6" s="590"/>
      <c r="H6" s="590"/>
      <c r="I6" s="590"/>
      <c r="J6" s="590"/>
      <c r="K6" s="590"/>
      <c r="L6" s="590"/>
    </row>
    <row r="7" spans="1:21" ht="18" customHeight="1" thickBot="1">
      <c r="B7" s="592"/>
      <c r="C7" s="76"/>
      <c r="D7" s="590"/>
      <c r="E7" s="593"/>
      <c r="F7" s="6" t="s">
        <v>129</v>
      </c>
      <c r="G7" s="590"/>
      <c r="H7" s="590"/>
      <c r="I7" s="590"/>
      <c r="J7" s="590"/>
      <c r="K7" s="6" t="s">
        <v>1201</v>
      </c>
    </row>
    <row r="8" spans="1:21" ht="24" customHeight="1" thickBot="1">
      <c r="B8" s="594" t="s">
        <v>1181</v>
      </c>
      <c r="C8" s="595">
        <v>2022</v>
      </c>
      <c r="D8" s="596" t="s">
        <v>2100</v>
      </c>
      <c r="E8" s="597"/>
      <c r="F8" s="6" t="s">
        <v>130</v>
      </c>
      <c r="G8" s="590"/>
      <c r="H8" s="590"/>
      <c r="I8" s="590"/>
      <c r="J8" s="590"/>
      <c r="K8" s="590"/>
      <c r="L8" s="590"/>
    </row>
    <row r="9" spans="1:21" ht="30">
      <c r="B9" s="598" t="s">
        <v>1182</v>
      </c>
      <c r="C9" s="599"/>
      <c r="D9" s="590"/>
      <c r="E9" s="590"/>
      <c r="F9" s="590"/>
      <c r="G9" s="590"/>
      <c r="H9" s="590"/>
      <c r="I9" s="590"/>
    </row>
    <row r="10" spans="1:21" ht="15" customHeight="1">
      <c r="A10" s="588"/>
      <c r="B10" s="1392" t="s">
        <v>1236</v>
      </c>
      <c r="C10" s="1392"/>
      <c r="D10" s="1392"/>
      <c r="E10" s="468" t="s">
        <v>1233</v>
      </c>
      <c r="F10" s="1398" t="str">
        <f>'10Paramos'!$F$10</f>
        <v>Acuerdo 005 del 22 de mayo de 2020 (Por medio del cual se aprueba el Plan de Accion Institucional 2020 -2023)</v>
      </c>
      <c r="G10" s="1398"/>
      <c r="H10" s="1398"/>
      <c r="I10" s="1398"/>
      <c r="J10" s="1398"/>
      <c r="K10" s="1398"/>
      <c r="L10" s="1398"/>
      <c r="M10" s="1398"/>
      <c r="N10" s="1398"/>
      <c r="O10" s="1398"/>
      <c r="P10" s="1398"/>
      <c r="Q10" s="1398"/>
      <c r="R10" s="1398"/>
      <c r="S10" s="1398"/>
      <c r="T10" s="600"/>
      <c r="U10" s="600"/>
    </row>
    <row r="11" spans="1:21" ht="32.25" customHeight="1">
      <c r="A11" s="588"/>
      <c r="B11" s="601"/>
      <c r="C11" s="602"/>
      <c r="D11" s="560" t="str">
        <f>IF(E10="SI APLICA","¿El indicador no se reporta por limitaciones de información disponible? ","")</f>
        <v xml:space="preserve">¿El indicador no se reporta por limitaciones de información disponible? </v>
      </c>
      <c r="E11" s="1154" t="s">
        <v>1234</v>
      </c>
      <c r="F11" s="1398" t="s">
        <v>1479</v>
      </c>
      <c r="G11" s="1398"/>
      <c r="H11" s="1398"/>
      <c r="I11" s="1398"/>
      <c r="J11" s="1398"/>
      <c r="K11" s="1398"/>
      <c r="L11" s="1398"/>
      <c r="M11" s="1398"/>
      <c r="N11" s="1398"/>
      <c r="O11" s="1398"/>
      <c r="P11" s="1398"/>
      <c r="Q11" s="1398"/>
      <c r="R11" s="1398"/>
      <c r="S11" s="1398"/>
    </row>
    <row r="12" spans="1:21" ht="23.45" customHeight="1">
      <c r="A12" s="588"/>
      <c r="B12" s="1392" t="str">
        <f>'10Paramos'!$D$12</f>
        <v xml:space="preserve">¿Qué programas o proyectos del Plan de Acción están asociados al indicador? </v>
      </c>
      <c r="C12" s="1392"/>
      <c r="D12" s="1392"/>
      <c r="E12" s="1398" t="str">
        <f>'10Paramos'!$E$12</f>
        <v>3202. CONSERVACIÓN DE LA BIODIVERSIDAD Y SUS SERVICIOS ECOSITÉMICOS 3202.05. Gestión del SIRAP y/o implementación de otras estrategias de conservación de la biodiversidad y formulación e implementación y apoyo de PM de AP en el dpto. del Cesar.</v>
      </c>
      <c r="F12" s="1398"/>
      <c r="G12" s="1398"/>
      <c r="H12" s="1398"/>
      <c r="I12" s="1398"/>
      <c r="J12" s="1398"/>
      <c r="K12" s="1398"/>
      <c r="L12" s="1398"/>
      <c r="M12" s="1398"/>
      <c r="N12" s="1398"/>
      <c r="O12" s="1398"/>
      <c r="P12" s="1398"/>
      <c r="Q12" s="1398"/>
      <c r="R12" s="1398"/>
    </row>
    <row r="13" spans="1:21" ht="21.95" customHeight="1">
      <c r="A13" s="588"/>
      <c r="B13" s="598"/>
      <c r="C13" s="603"/>
      <c r="D13" s="560" t="s">
        <v>1238</v>
      </c>
      <c r="E13" s="1395" t="s">
        <v>2101</v>
      </c>
      <c r="F13" s="1396"/>
      <c r="G13" s="1396"/>
      <c r="H13" s="1396"/>
      <c r="I13" s="1396"/>
      <c r="J13" s="1396"/>
      <c r="K13" s="1396"/>
      <c r="L13" s="1396"/>
      <c r="M13" s="1396"/>
      <c r="N13" s="1396"/>
      <c r="O13" s="1396"/>
      <c r="P13" s="1396"/>
      <c r="Q13" s="1396"/>
      <c r="R13" s="1397"/>
    </row>
    <row r="14" spans="1:21" ht="6.95" customHeight="1" thickBot="1">
      <c r="B14" s="598"/>
      <c r="C14" s="599"/>
      <c r="D14" s="590"/>
      <c r="E14" s="590"/>
      <c r="F14" s="590"/>
      <c r="G14" s="590"/>
      <c r="H14" s="590"/>
      <c r="I14" s="590"/>
    </row>
    <row r="15" spans="1:21" ht="15.6" customHeight="1" thickBot="1">
      <c r="B15" s="1447" t="s">
        <v>2</v>
      </c>
      <c r="C15" s="88"/>
      <c r="D15" s="1458" t="s">
        <v>336</v>
      </c>
      <c r="E15" s="1459"/>
      <c r="F15" s="1459"/>
      <c r="G15" s="1459"/>
      <c r="H15" s="1459"/>
      <c r="I15" s="1460"/>
      <c r="K15" s="407" t="s">
        <v>412</v>
      </c>
      <c r="L15" s="407" t="s">
        <v>1214</v>
      </c>
      <c r="M15" s="407" t="s">
        <v>1058</v>
      </c>
      <c r="N15" s="407" t="s">
        <v>105</v>
      </c>
      <c r="O15" s="604"/>
    </row>
    <row r="16" spans="1:21" ht="60" customHeight="1" thickBot="1">
      <c r="B16" s="1448"/>
      <c r="C16" s="570" t="s">
        <v>19</v>
      </c>
      <c r="D16" s="565" t="s">
        <v>150</v>
      </c>
      <c r="E16" s="565" t="s">
        <v>151</v>
      </c>
      <c r="F16" s="590"/>
      <c r="G16" s="590"/>
      <c r="I16" s="17"/>
      <c r="K16" s="407" t="s">
        <v>1206</v>
      </c>
      <c r="L16" s="407" t="s">
        <v>1215</v>
      </c>
      <c r="M16" s="605">
        <v>0.05</v>
      </c>
      <c r="N16" s="605">
        <v>0.05</v>
      </c>
      <c r="O16" s="604"/>
    </row>
    <row r="17" spans="2:18" ht="34.700000000000003" customHeight="1" thickBot="1">
      <c r="B17" s="1448"/>
      <c r="C17" s="569" t="s">
        <v>152</v>
      </c>
      <c r="D17" s="568" t="s">
        <v>2127</v>
      </c>
      <c r="E17" s="190">
        <v>2290500</v>
      </c>
      <c r="F17" s="590"/>
      <c r="G17" s="590"/>
      <c r="I17" s="17"/>
      <c r="K17" s="407" t="s">
        <v>1203</v>
      </c>
      <c r="L17" s="407" t="s">
        <v>1217</v>
      </c>
      <c r="M17" s="605">
        <v>0.15</v>
      </c>
      <c r="N17" s="605">
        <f>+M17+N16</f>
        <v>0.2</v>
      </c>
      <c r="O17" s="604"/>
    </row>
    <row r="18" spans="2:18" ht="46.5" customHeight="1" thickBot="1">
      <c r="B18" s="1448"/>
      <c r="C18" s="569" t="s">
        <v>154</v>
      </c>
      <c r="D18" s="568" t="s">
        <v>430</v>
      </c>
      <c r="E18" s="190">
        <v>0</v>
      </c>
      <c r="F18" s="590"/>
      <c r="G18" s="590"/>
      <c r="I18" s="17"/>
      <c r="K18" s="407" t="s">
        <v>1204</v>
      </c>
      <c r="L18" s="407" t="s">
        <v>1218</v>
      </c>
      <c r="M18" s="605">
        <v>0.15</v>
      </c>
      <c r="N18" s="605">
        <f>+M18+N17</f>
        <v>0.35</v>
      </c>
      <c r="O18" s="604"/>
    </row>
    <row r="19" spans="2:18" ht="44.25" customHeight="1" thickBot="1">
      <c r="B19" s="1448"/>
      <c r="C19" s="569" t="s">
        <v>156</v>
      </c>
      <c r="D19" s="568" t="s">
        <v>431</v>
      </c>
      <c r="E19" s="190">
        <v>0</v>
      </c>
      <c r="F19" s="590"/>
      <c r="G19" s="590"/>
      <c r="I19" s="17"/>
      <c r="K19" s="407" t="s">
        <v>1205</v>
      </c>
      <c r="L19" s="407" t="s">
        <v>1219</v>
      </c>
      <c r="M19" s="605">
        <v>0.2</v>
      </c>
      <c r="N19" s="605">
        <f>+M19+N18</f>
        <v>0.55000000000000004</v>
      </c>
      <c r="O19" s="604"/>
    </row>
    <row r="20" spans="2:18" ht="34.700000000000003" customHeight="1" thickBot="1">
      <c r="B20" s="1448"/>
      <c r="C20" s="569" t="s">
        <v>258</v>
      </c>
      <c r="D20" s="568" t="s">
        <v>432</v>
      </c>
      <c r="E20" s="142">
        <f>+E18+E19</f>
        <v>0</v>
      </c>
      <c r="F20" s="590"/>
      <c r="G20" s="590"/>
      <c r="I20" s="17"/>
      <c r="K20" s="407" t="s">
        <v>1202</v>
      </c>
      <c r="L20" s="407" t="s">
        <v>1220</v>
      </c>
      <c r="M20" s="605">
        <v>0.2</v>
      </c>
      <c r="N20" s="605">
        <f>+M20+N19</f>
        <v>0.75</v>
      </c>
      <c r="O20" s="604"/>
    </row>
    <row r="21" spans="2:18" ht="34.700000000000003" customHeight="1" thickBot="1">
      <c r="B21" s="1448"/>
      <c r="C21" s="569" t="s">
        <v>260</v>
      </c>
      <c r="D21" s="568" t="s">
        <v>1315</v>
      </c>
      <c r="E21" s="190">
        <v>2290500</v>
      </c>
      <c r="F21" s="590"/>
      <c r="G21" s="590"/>
      <c r="I21" s="17"/>
      <c r="K21" s="407" t="s">
        <v>1222</v>
      </c>
      <c r="L21" s="407" t="s">
        <v>1221</v>
      </c>
      <c r="M21" s="605">
        <v>0.25</v>
      </c>
      <c r="N21" s="605">
        <f>+M21+N20</f>
        <v>1</v>
      </c>
      <c r="R21" s="586" t="s">
        <v>1216</v>
      </c>
    </row>
    <row r="22" spans="2:18" ht="15" customHeight="1">
      <c r="B22" s="1448"/>
      <c r="C22" s="91"/>
      <c r="D22" s="1464"/>
      <c r="E22" s="1465"/>
      <c r="F22" s="1465"/>
      <c r="G22" s="1465"/>
      <c r="H22" s="1465"/>
      <c r="I22" s="1466"/>
      <c r="K22" s="407" t="s">
        <v>151</v>
      </c>
      <c r="L22" s="407"/>
      <c r="M22" s="605">
        <f>SUM(M16:M21)</f>
        <v>1</v>
      </c>
    </row>
    <row r="23" spans="2:18" ht="15.75" thickBot="1">
      <c r="B23" s="1448"/>
      <c r="C23" s="91"/>
      <c r="D23" s="1499" t="s">
        <v>433</v>
      </c>
      <c r="E23" s="1500"/>
      <c r="F23" s="1500"/>
      <c r="G23" s="1500"/>
      <c r="H23" s="1500"/>
      <c r="I23" s="1501"/>
      <c r="J23" s="590"/>
      <c r="K23" s="590"/>
      <c r="L23" s="590"/>
    </row>
    <row r="24" spans="2:18" ht="15" customHeight="1" thickBot="1">
      <c r="B24" s="1448"/>
      <c r="C24" s="93"/>
      <c r="D24" s="565" t="s">
        <v>150</v>
      </c>
      <c r="E24" s="565" t="s">
        <v>20</v>
      </c>
      <c r="F24" s="565" t="s">
        <v>21</v>
      </c>
      <c r="G24" s="565" t="s">
        <v>22</v>
      </c>
      <c r="H24" s="565" t="s">
        <v>23</v>
      </c>
      <c r="I24" s="565" t="s">
        <v>151</v>
      </c>
      <c r="J24" s="590"/>
      <c r="K24" s="1498" t="s">
        <v>412</v>
      </c>
      <c r="L24" s="1498" t="s">
        <v>1207</v>
      </c>
      <c r="M24" s="1498" t="s">
        <v>20</v>
      </c>
      <c r="N24" s="1498" t="s">
        <v>21</v>
      </c>
      <c r="O24" s="1498" t="s">
        <v>22</v>
      </c>
      <c r="P24" s="1498" t="s">
        <v>23</v>
      </c>
    </row>
    <row r="25" spans="2:18" ht="15" customHeight="1" thickBot="1">
      <c r="B25" s="1448"/>
      <c r="C25" s="93"/>
      <c r="D25" s="568" t="s">
        <v>434</v>
      </c>
      <c r="E25" s="190">
        <v>0</v>
      </c>
      <c r="F25" s="190"/>
      <c r="G25" s="190"/>
      <c r="H25" s="190"/>
      <c r="I25" s="606">
        <f>Formulas!$I$15</f>
        <v>0</v>
      </c>
      <c r="J25" s="590"/>
      <c r="K25" s="1498"/>
      <c r="L25" s="1498"/>
      <c r="M25" s="1498"/>
      <c r="N25" s="1498"/>
      <c r="O25" s="1498"/>
      <c r="P25" s="1498"/>
    </row>
    <row r="26" spans="2:18" ht="15" customHeight="1" thickBot="1">
      <c r="B26" s="1448"/>
      <c r="C26" s="93"/>
      <c r="D26" s="568" t="s">
        <v>370</v>
      </c>
      <c r="E26" s="190"/>
      <c r="F26" s="190"/>
      <c r="G26" s="190"/>
      <c r="H26" s="190"/>
      <c r="I26" s="607"/>
      <c r="J26" s="590"/>
      <c r="K26" s="407" t="str">
        <f>+D26</f>
        <v>Sin iniciar</v>
      </c>
      <c r="L26" s="608"/>
      <c r="M26" s="609">
        <f>+$L26*E26</f>
        <v>0</v>
      </c>
      <c r="N26" s="609"/>
      <c r="O26" s="609"/>
      <c r="P26" s="609"/>
    </row>
    <row r="27" spans="2:18" ht="15" customHeight="1" thickBot="1">
      <c r="B27" s="1448"/>
      <c r="C27" s="93"/>
      <c r="D27" s="568" t="s">
        <v>435</v>
      </c>
      <c r="E27" s="190"/>
      <c r="F27" s="190"/>
      <c r="G27" s="190"/>
      <c r="H27" s="190"/>
      <c r="I27" s="607"/>
      <c r="J27" s="590"/>
      <c r="K27" s="407" t="str">
        <f>+D27</f>
        <v>En formulación</v>
      </c>
      <c r="L27" s="608"/>
      <c r="M27" s="609">
        <f>+$L27*E27</f>
        <v>0</v>
      </c>
      <c r="N27" s="609"/>
      <c r="O27" s="609"/>
      <c r="P27" s="609"/>
    </row>
    <row r="28" spans="2:18" ht="15" customHeight="1" thickBot="1">
      <c r="B28" s="1448"/>
      <c r="C28" s="93"/>
      <c r="D28" s="568" t="s">
        <v>436</v>
      </c>
      <c r="E28" s="190"/>
      <c r="F28" s="190"/>
      <c r="G28" s="190"/>
      <c r="H28" s="190"/>
      <c r="I28" s="607"/>
      <c r="J28" s="590"/>
      <c r="K28" s="407" t="str">
        <f>+D28</f>
        <v>En actualización</v>
      </c>
      <c r="L28" s="608"/>
      <c r="M28" s="609">
        <f>+$L28*E28</f>
        <v>0</v>
      </c>
      <c r="N28" s="609"/>
      <c r="O28" s="609"/>
      <c r="P28" s="609"/>
    </row>
    <row r="29" spans="2:18" ht="23.25" thickBot="1">
      <c r="B29" s="1448"/>
      <c r="C29" s="93"/>
      <c r="D29" s="568" t="s">
        <v>437</v>
      </c>
      <c r="E29" s="190"/>
      <c r="F29" s="190"/>
      <c r="G29" s="190"/>
      <c r="H29" s="190"/>
      <c r="I29" s="607"/>
      <c r="J29" s="590"/>
      <c r="K29" s="407" t="str">
        <f>+D29</f>
        <v>Plan forestal adoptado</v>
      </c>
      <c r="L29" s="608"/>
      <c r="M29" s="609">
        <f>+$L29*E29</f>
        <v>0</v>
      </c>
      <c r="N29" s="609"/>
      <c r="O29" s="609"/>
      <c r="P29" s="609"/>
    </row>
    <row r="30" spans="2:18" ht="15" customHeight="1" thickBot="1">
      <c r="B30" s="1448"/>
      <c r="C30" s="93"/>
      <c r="D30" s="568" t="s">
        <v>151</v>
      </c>
      <c r="E30" s="610">
        <f>Formulas!D15</f>
        <v>0</v>
      </c>
      <c r="F30" s="610">
        <f>Formulas!E15</f>
        <v>0</v>
      </c>
      <c r="G30" s="610">
        <f>Formulas!F15</f>
        <v>0</v>
      </c>
      <c r="H30" s="610">
        <f>Formulas!G15</f>
        <v>0</v>
      </c>
      <c r="I30" s="607"/>
      <c r="J30" s="590"/>
      <c r="K30" s="407"/>
      <c r="L30" s="407" t="s">
        <v>1198</v>
      </c>
      <c r="M30" s="609">
        <f>SUM(M26:M29)</f>
        <v>0</v>
      </c>
      <c r="N30" s="609"/>
      <c r="O30" s="609"/>
      <c r="P30" s="609"/>
    </row>
    <row r="31" spans="2:18" ht="14.45" customHeight="1">
      <c r="B31" s="1448"/>
      <c r="C31" s="91"/>
      <c r="D31" s="1458" t="s">
        <v>438</v>
      </c>
      <c r="E31" s="1459"/>
      <c r="F31" s="1459"/>
      <c r="G31" s="1459"/>
      <c r="H31" s="1459"/>
      <c r="I31" s="1460"/>
      <c r="J31" s="590"/>
      <c r="K31" s="407"/>
      <c r="L31" s="407" t="s">
        <v>1199</v>
      </c>
      <c r="M31" s="611" t="e">
        <f>+M30/$I$25</f>
        <v>#DIV/0!</v>
      </c>
      <c r="N31" s="611"/>
      <c r="O31" s="611"/>
      <c r="P31" s="611"/>
    </row>
    <row r="32" spans="2:18" ht="24" customHeight="1">
      <c r="B32" s="1448"/>
      <c r="C32" s="91"/>
      <c r="D32" s="1464" t="s">
        <v>439</v>
      </c>
      <c r="E32" s="1465"/>
      <c r="F32" s="1465"/>
      <c r="G32" s="1465"/>
      <c r="H32" s="1465"/>
      <c r="I32" s="1466"/>
      <c r="J32" s="590"/>
      <c r="K32" s="407"/>
      <c r="L32" s="407" t="s">
        <v>1208</v>
      </c>
      <c r="M32" s="611" t="e">
        <f>+M45</f>
        <v>#DIV/0!</v>
      </c>
      <c r="N32" s="611"/>
      <c r="O32" s="611"/>
      <c r="P32" s="611"/>
    </row>
    <row r="33" spans="2:16" ht="15" customHeight="1" thickBot="1">
      <c r="B33" s="1448"/>
      <c r="C33" s="91"/>
      <c r="D33" s="1461" t="s">
        <v>440</v>
      </c>
      <c r="E33" s="1462"/>
      <c r="F33" s="1462"/>
      <c r="G33" s="1462"/>
      <c r="H33" s="1462"/>
      <c r="I33" s="1463"/>
      <c r="J33" s="590"/>
      <c r="K33" s="407"/>
      <c r="L33" s="407" t="s">
        <v>1212</v>
      </c>
      <c r="M33" s="609">
        <f>+M46</f>
        <v>0</v>
      </c>
      <c r="N33" s="609"/>
      <c r="O33" s="609"/>
      <c r="P33" s="609"/>
    </row>
    <row r="34" spans="2:16" ht="48.75" thickBot="1">
      <c r="B34" s="1448"/>
      <c r="C34" s="93"/>
      <c r="D34" s="565" t="s">
        <v>441</v>
      </c>
      <c r="E34" s="565" t="s">
        <v>442</v>
      </c>
      <c r="F34" s="565" t="s">
        <v>443</v>
      </c>
      <c r="G34" s="565" t="s">
        <v>444</v>
      </c>
      <c r="H34" s="565" t="s">
        <v>445</v>
      </c>
      <c r="I34" s="17"/>
      <c r="J34" s="590"/>
      <c r="K34" s="407"/>
      <c r="L34" s="407" t="s">
        <v>418</v>
      </c>
      <c r="M34" s="611" t="e">
        <f>+M30/M33</f>
        <v>#DIV/0!</v>
      </c>
      <c r="N34" s="611"/>
      <c r="O34" s="611"/>
      <c r="P34" s="611"/>
    </row>
    <row r="35" spans="2:16" ht="15" customHeight="1" thickBot="1">
      <c r="B35" s="1448"/>
      <c r="C35" s="93"/>
      <c r="D35" s="554"/>
      <c r="E35" s="554"/>
      <c r="F35" s="190"/>
      <c r="G35" s="554"/>
      <c r="H35" s="554"/>
      <c r="I35" s="17"/>
      <c r="J35" s="590"/>
      <c r="K35" s="590"/>
      <c r="L35" s="590"/>
      <c r="M35" s="590"/>
      <c r="N35" s="590"/>
      <c r="O35" s="590"/>
      <c r="P35" s="590"/>
    </row>
    <row r="36" spans="2:16" ht="15" customHeight="1" thickBot="1">
      <c r="B36" s="1448"/>
      <c r="C36" s="93"/>
      <c r="D36" s="554"/>
      <c r="E36" s="554"/>
      <c r="F36" s="190"/>
      <c r="G36" s="554"/>
      <c r="H36" s="554"/>
      <c r="I36" s="17"/>
      <c r="J36" s="590"/>
      <c r="K36" s="590"/>
      <c r="L36" s="590"/>
    </row>
    <row r="37" spans="2:16" ht="15" customHeight="1" thickBot="1">
      <c r="B37" s="1448"/>
      <c r="C37" s="93"/>
      <c r="D37" s="554"/>
      <c r="E37" s="554"/>
      <c r="F37" s="190"/>
      <c r="G37" s="554"/>
      <c r="H37" s="554"/>
      <c r="I37" s="17"/>
      <c r="J37" s="590"/>
      <c r="K37" s="590"/>
      <c r="L37" s="586" t="s">
        <v>1209</v>
      </c>
    </row>
    <row r="38" spans="2:16" ht="15" customHeight="1" thickBot="1">
      <c r="B38" s="1448"/>
      <c r="C38" s="93"/>
      <c r="D38" s="554"/>
      <c r="E38" s="554"/>
      <c r="F38" s="190"/>
      <c r="G38" s="554"/>
      <c r="H38" s="554"/>
      <c r="I38" s="17"/>
      <c r="J38" s="590"/>
      <c r="K38" s="590"/>
      <c r="L38" s="590"/>
    </row>
    <row r="39" spans="2:16" ht="15" customHeight="1" thickBot="1">
      <c r="B39" s="1448"/>
      <c r="C39" s="93"/>
      <c r="D39" s="554"/>
      <c r="E39" s="554"/>
      <c r="F39" s="190"/>
      <c r="G39" s="554"/>
      <c r="H39" s="554"/>
      <c r="I39" s="17"/>
      <c r="J39" s="590"/>
      <c r="K39" s="1498" t="s">
        <v>1200</v>
      </c>
      <c r="L39" s="1498" t="s">
        <v>1210</v>
      </c>
      <c r="M39" s="1498" t="s">
        <v>1211</v>
      </c>
    </row>
    <row r="40" spans="2:16" ht="48" customHeight="1" thickBot="1">
      <c r="B40" s="1448"/>
      <c r="C40" s="93"/>
      <c r="D40" s="554"/>
      <c r="E40" s="554"/>
      <c r="F40" s="190"/>
      <c r="G40" s="554"/>
      <c r="H40" s="554"/>
      <c r="I40" s="17"/>
      <c r="J40" s="590"/>
      <c r="K40" s="1498"/>
      <c r="L40" s="1498"/>
      <c r="M40" s="1498"/>
    </row>
    <row r="41" spans="2:16" ht="15.75" thickBot="1">
      <c r="B41" s="1448"/>
      <c r="C41" s="93"/>
      <c r="D41" s="554"/>
      <c r="E41" s="554"/>
      <c r="F41" s="190"/>
      <c r="G41" s="554"/>
      <c r="H41" s="554"/>
      <c r="I41" s="17"/>
      <c r="J41" s="590"/>
      <c r="K41" s="407" t="str">
        <f>+K26</f>
        <v>Sin iniciar</v>
      </c>
      <c r="L41" s="612"/>
      <c r="M41" s="611">
        <v>0</v>
      </c>
    </row>
    <row r="42" spans="2:16" ht="15.75" thickBot="1">
      <c r="B42" s="1448"/>
      <c r="C42" s="93"/>
      <c r="D42" s="554"/>
      <c r="E42" s="554"/>
      <c r="F42" s="190"/>
      <c r="G42" s="554"/>
      <c r="H42" s="554"/>
      <c r="I42" s="17"/>
      <c r="J42" s="590"/>
      <c r="K42" s="407" t="str">
        <f>+K27</f>
        <v>En formulación</v>
      </c>
      <c r="L42" s="612"/>
      <c r="M42" s="613"/>
    </row>
    <row r="43" spans="2:16" ht="24" customHeight="1" thickBot="1">
      <c r="B43" s="1449"/>
      <c r="C43" s="92"/>
      <c r="D43" s="1499" t="s">
        <v>446</v>
      </c>
      <c r="E43" s="1500"/>
      <c r="F43" s="1500"/>
      <c r="G43" s="1500"/>
      <c r="H43" s="1500"/>
      <c r="I43" s="1501"/>
      <c r="J43" s="590"/>
      <c r="K43" s="407" t="str">
        <f>+K28</f>
        <v>En actualización</v>
      </c>
      <c r="L43" s="612"/>
      <c r="M43" s="613"/>
    </row>
    <row r="44" spans="2:16" ht="24" customHeight="1" thickBot="1">
      <c r="B44" s="563" t="s">
        <v>34</v>
      </c>
      <c r="C44" s="92"/>
      <c r="D44" s="1453" t="s">
        <v>447</v>
      </c>
      <c r="E44" s="1454"/>
      <c r="F44" s="1454"/>
      <c r="G44" s="1454"/>
      <c r="H44" s="1454"/>
      <c r="I44" s="1455"/>
      <c r="J44" s="590"/>
      <c r="K44" s="407" t="str">
        <f>+K29</f>
        <v>Plan forestal adoptado</v>
      </c>
      <c r="L44" s="612"/>
      <c r="M44" s="613"/>
    </row>
    <row r="45" spans="2:16" ht="24.75" thickBot="1">
      <c r="B45" s="563" t="s">
        <v>36</v>
      </c>
      <c r="C45" s="92"/>
      <c r="D45" s="1453" t="s">
        <v>346</v>
      </c>
      <c r="E45" s="1454"/>
      <c r="F45" s="1454"/>
      <c r="G45" s="1454"/>
      <c r="H45" s="1454"/>
      <c r="I45" s="1455"/>
      <c r="J45" s="590"/>
      <c r="K45" s="407" t="s">
        <v>151</v>
      </c>
      <c r="L45" s="609">
        <f>SUM(L41:L44)</f>
        <v>0</v>
      </c>
      <c r="M45" s="611" t="e">
        <f>+M46/L45</f>
        <v>#DIV/0!</v>
      </c>
    </row>
    <row r="46" spans="2:16" ht="15" customHeight="1" thickBot="1">
      <c r="B46" s="566"/>
      <c r="C46" s="589"/>
      <c r="D46" s="590"/>
      <c r="E46" s="590"/>
      <c r="F46" s="590"/>
      <c r="G46" s="590"/>
      <c r="H46" s="590"/>
      <c r="I46" s="590"/>
      <c r="J46" s="590"/>
      <c r="K46" s="407"/>
      <c r="L46" s="388" t="s">
        <v>1213</v>
      </c>
      <c r="M46" s="609">
        <f>+L41*M41+L42*M42+L43*M43+L44*M44</f>
        <v>0</v>
      </c>
    </row>
    <row r="47" spans="2:16" ht="24" customHeight="1" thickBot="1">
      <c r="B47" s="1450" t="s">
        <v>38</v>
      </c>
      <c r="C47" s="1451"/>
      <c r="D47" s="1451"/>
      <c r="E47" s="1452"/>
      <c r="F47" s="590"/>
      <c r="G47" s="590"/>
      <c r="H47" s="590"/>
      <c r="I47" s="590"/>
      <c r="J47" s="590"/>
      <c r="K47" s="590"/>
      <c r="L47" s="590"/>
      <c r="M47" s="590"/>
      <c r="N47" s="590"/>
    </row>
    <row r="48" spans="2:16" ht="15" customHeight="1" thickBot="1">
      <c r="B48" s="1447">
        <v>1</v>
      </c>
      <c r="C48" s="93"/>
      <c r="D48" s="48" t="s">
        <v>39</v>
      </c>
      <c r="E48" s="554"/>
      <c r="F48" s="590"/>
      <c r="G48" s="590"/>
      <c r="H48" s="590"/>
      <c r="I48" s="590"/>
      <c r="J48" s="590"/>
      <c r="K48" s="590"/>
      <c r="L48" s="590"/>
      <c r="M48" s="590"/>
      <c r="N48" s="590"/>
    </row>
    <row r="49" spans="2:14" ht="15" customHeight="1" thickBot="1">
      <c r="B49" s="1448"/>
      <c r="C49" s="93"/>
      <c r="D49" s="568" t="s">
        <v>40</v>
      </c>
      <c r="E49" s="554"/>
      <c r="F49" s="590"/>
      <c r="G49" s="590"/>
      <c r="H49" s="590"/>
      <c r="I49" s="590"/>
      <c r="J49" s="590"/>
      <c r="K49" s="590"/>
      <c r="L49" s="590"/>
      <c r="M49" s="590"/>
      <c r="N49" s="590"/>
    </row>
    <row r="50" spans="2:14" ht="15" customHeight="1" thickBot="1">
      <c r="B50" s="1448"/>
      <c r="C50" s="93"/>
      <c r="D50" s="568" t="s">
        <v>41</v>
      </c>
      <c r="E50" s="554"/>
      <c r="F50" s="590"/>
      <c r="G50" s="590"/>
      <c r="H50" s="590"/>
      <c r="I50" s="590"/>
      <c r="J50" s="590"/>
      <c r="K50" s="590"/>
      <c r="L50" s="590"/>
      <c r="M50" s="590"/>
      <c r="N50" s="590"/>
    </row>
    <row r="51" spans="2:14" ht="15" customHeight="1" thickBot="1">
      <c r="B51" s="1448"/>
      <c r="C51" s="93"/>
      <c r="D51" s="568" t="s">
        <v>42</v>
      </c>
      <c r="E51" s="554"/>
      <c r="F51" s="590"/>
      <c r="G51" s="590"/>
      <c r="H51" s="590"/>
      <c r="I51" s="590"/>
      <c r="J51" s="590"/>
      <c r="K51" s="590"/>
      <c r="L51" s="590"/>
      <c r="M51" s="590"/>
      <c r="N51" s="590"/>
    </row>
    <row r="52" spans="2:14" ht="15" customHeight="1" thickBot="1">
      <c r="B52" s="1448"/>
      <c r="C52" s="93"/>
      <c r="D52" s="568" t="s">
        <v>43</v>
      </c>
      <c r="E52" s="554"/>
      <c r="F52" s="590"/>
      <c r="G52" s="590"/>
      <c r="H52" s="590"/>
      <c r="I52" s="590"/>
      <c r="J52" s="590"/>
      <c r="K52" s="590"/>
      <c r="L52" s="590"/>
    </row>
    <row r="53" spans="2:14" ht="15" customHeight="1" thickBot="1">
      <c r="B53" s="1448"/>
      <c r="C53" s="93"/>
      <c r="D53" s="568" t="s">
        <v>44</v>
      </c>
      <c r="E53" s="554"/>
      <c r="F53" s="590"/>
      <c r="G53" s="590"/>
      <c r="H53" s="590"/>
      <c r="I53" s="590"/>
      <c r="J53" s="590"/>
      <c r="K53" s="590"/>
      <c r="L53" s="590"/>
    </row>
    <row r="54" spans="2:14" ht="15" customHeight="1" thickBot="1">
      <c r="B54" s="1449"/>
      <c r="C54" s="569"/>
      <c r="D54" s="568" t="s">
        <v>45</v>
      </c>
      <c r="E54" s="554"/>
      <c r="F54" s="590"/>
      <c r="G54" s="590"/>
      <c r="H54" s="590"/>
      <c r="I54" s="590"/>
      <c r="J54" s="590"/>
      <c r="K54" s="590"/>
      <c r="L54" s="590"/>
    </row>
    <row r="55" spans="2:14" ht="15" customHeight="1" thickBot="1">
      <c r="B55" s="566"/>
      <c r="C55" s="589"/>
      <c r="D55" s="590"/>
      <c r="E55" s="590"/>
      <c r="F55" s="590"/>
      <c r="G55" s="590"/>
      <c r="H55" s="590"/>
      <c r="I55" s="590"/>
      <c r="J55" s="590"/>
      <c r="K55" s="590"/>
      <c r="L55" s="590"/>
    </row>
    <row r="56" spans="2:14" ht="15" customHeight="1" thickBot="1">
      <c r="B56" s="1450" t="s">
        <v>46</v>
      </c>
      <c r="C56" s="1451"/>
      <c r="D56" s="1451"/>
      <c r="E56" s="1452"/>
      <c r="F56" s="590"/>
      <c r="G56" s="590"/>
      <c r="H56" s="590"/>
      <c r="I56" s="590"/>
      <c r="J56" s="590"/>
      <c r="K56" s="590"/>
      <c r="L56" s="590"/>
    </row>
    <row r="57" spans="2:14" ht="15" customHeight="1" thickBot="1">
      <c r="B57" s="1447">
        <v>1</v>
      </c>
      <c r="C57" s="93"/>
      <c r="D57" s="48" t="s">
        <v>39</v>
      </c>
      <c r="E57" s="573" t="s">
        <v>47</v>
      </c>
      <c r="F57" s="590"/>
      <c r="G57" s="590"/>
      <c r="H57" s="590"/>
      <c r="I57" s="590"/>
      <c r="J57" s="590"/>
      <c r="K57" s="590"/>
      <c r="L57" s="590"/>
    </row>
    <row r="58" spans="2:14" ht="15" customHeight="1" thickBot="1">
      <c r="B58" s="1448"/>
      <c r="C58" s="93"/>
      <c r="D58" s="568" t="s">
        <v>40</v>
      </c>
      <c r="E58" s="573" t="s">
        <v>160</v>
      </c>
      <c r="F58" s="590"/>
      <c r="G58" s="590"/>
      <c r="H58" s="590"/>
      <c r="I58" s="590"/>
      <c r="J58" s="590"/>
      <c r="K58" s="590"/>
      <c r="L58" s="590"/>
    </row>
    <row r="59" spans="2:14" ht="15" customHeight="1" thickBot="1">
      <c r="B59" s="1448"/>
      <c r="C59" s="93"/>
      <c r="D59" s="568" t="s">
        <v>41</v>
      </c>
      <c r="E59" s="291"/>
      <c r="F59" s="590"/>
      <c r="G59" s="590"/>
      <c r="H59" s="590"/>
      <c r="I59" s="590"/>
      <c r="J59" s="590"/>
      <c r="K59" s="590"/>
      <c r="L59" s="590"/>
    </row>
    <row r="60" spans="2:14" ht="15" customHeight="1" thickBot="1">
      <c r="B60" s="1448"/>
      <c r="C60" s="93"/>
      <c r="D60" s="568" t="s">
        <v>42</v>
      </c>
      <c r="E60" s="291"/>
      <c r="F60" s="590"/>
      <c r="G60" s="590"/>
      <c r="H60" s="590"/>
      <c r="I60" s="590"/>
      <c r="J60" s="590"/>
      <c r="K60" s="590"/>
      <c r="L60" s="590"/>
    </row>
    <row r="61" spans="2:14" ht="15.75" thickBot="1">
      <c r="B61" s="1448"/>
      <c r="C61" s="93"/>
      <c r="D61" s="568" t="s">
        <v>43</v>
      </c>
      <c r="E61" s="291"/>
      <c r="F61" s="590"/>
      <c r="G61" s="590"/>
      <c r="H61" s="590"/>
      <c r="I61" s="590"/>
      <c r="J61" s="590"/>
      <c r="K61" s="590"/>
      <c r="L61" s="590"/>
    </row>
    <row r="62" spans="2:14" ht="15.75" thickBot="1">
      <c r="B62" s="1448"/>
      <c r="C62" s="93"/>
      <c r="D62" s="568" t="s">
        <v>44</v>
      </c>
      <c r="E62" s="291"/>
      <c r="F62" s="590"/>
      <c r="G62" s="590"/>
      <c r="H62" s="590"/>
      <c r="I62" s="590"/>
      <c r="J62" s="590"/>
      <c r="K62" s="590"/>
      <c r="L62" s="590"/>
    </row>
    <row r="63" spans="2:14" ht="15" customHeight="1" thickBot="1">
      <c r="B63" s="1449"/>
      <c r="C63" s="569"/>
      <c r="D63" s="568" t="s">
        <v>45</v>
      </c>
      <c r="E63" s="291"/>
      <c r="F63" s="590"/>
      <c r="G63" s="590"/>
      <c r="H63" s="590"/>
      <c r="I63" s="590"/>
      <c r="J63" s="590"/>
      <c r="K63" s="590"/>
      <c r="L63" s="590"/>
    </row>
    <row r="64" spans="2:14" ht="15" customHeight="1" thickBot="1">
      <c r="B64" s="572"/>
      <c r="C64" s="129"/>
      <c r="D64" s="572"/>
      <c r="E64" s="590"/>
      <c r="F64" s="590"/>
      <c r="G64" s="590"/>
      <c r="H64" s="590"/>
      <c r="I64" s="590"/>
      <c r="J64" s="590"/>
      <c r="K64" s="590"/>
      <c r="L64" s="590"/>
    </row>
    <row r="65" spans="2:12" ht="15" customHeight="1">
      <c r="B65" s="571" t="s">
        <v>417</v>
      </c>
      <c r="C65" s="95"/>
      <c r="D65" s="590"/>
      <c r="E65" s="590"/>
      <c r="F65" s="590"/>
      <c r="G65" s="590"/>
      <c r="H65" s="590"/>
      <c r="I65" s="590"/>
      <c r="J65" s="590"/>
      <c r="K65" s="590"/>
      <c r="L65" s="590"/>
    </row>
    <row r="66" spans="2:12">
      <c r="B66" s="1420"/>
      <c r="C66" s="1421"/>
      <c r="D66" s="1422"/>
      <c r="E66" s="590"/>
      <c r="F66" s="590"/>
      <c r="G66" s="590"/>
      <c r="H66" s="590"/>
      <c r="I66" s="590"/>
      <c r="J66" s="590"/>
      <c r="K66" s="590"/>
      <c r="L66" s="590"/>
    </row>
    <row r="67" spans="2:12">
      <c r="B67" s="1423"/>
      <c r="C67" s="1424"/>
      <c r="D67" s="1425"/>
      <c r="E67" s="590"/>
      <c r="F67" s="590"/>
      <c r="G67" s="590"/>
      <c r="H67" s="590"/>
      <c r="I67" s="590"/>
      <c r="J67" s="590"/>
      <c r="K67" s="590"/>
      <c r="L67" s="590"/>
    </row>
    <row r="68" spans="2:12" ht="15.75" thickBot="1">
      <c r="B68" s="572"/>
      <c r="C68" s="129"/>
      <c r="D68" s="572"/>
      <c r="E68" s="590"/>
      <c r="F68" s="590"/>
      <c r="G68" s="590"/>
      <c r="H68" s="590"/>
      <c r="I68" s="590"/>
      <c r="J68" s="590"/>
      <c r="K68" s="590"/>
      <c r="L68" s="590"/>
    </row>
    <row r="69" spans="2:12" ht="15.75" thickBot="1">
      <c r="B69" s="1450" t="s">
        <v>49</v>
      </c>
      <c r="C69" s="1451"/>
      <c r="D69" s="1451"/>
      <c r="E69" s="1451"/>
      <c r="F69" s="1452"/>
      <c r="G69" s="590"/>
      <c r="H69" s="590"/>
      <c r="I69" s="590"/>
      <c r="J69" s="590"/>
      <c r="K69" s="590"/>
      <c r="L69" s="590"/>
    </row>
    <row r="70" spans="2:12" ht="24.75" thickBot="1">
      <c r="B70" s="563" t="s">
        <v>50</v>
      </c>
      <c r="C70" s="568" t="s">
        <v>51</v>
      </c>
      <c r="D70" s="568" t="s">
        <v>52</v>
      </c>
      <c r="E70" s="568" t="s">
        <v>53</v>
      </c>
      <c r="F70" s="590"/>
      <c r="G70" s="590"/>
      <c r="H70" s="590"/>
      <c r="I70" s="590"/>
      <c r="J70" s="590"/>
      <c r="K70" s="590"/>
      <c r="L70" s="590"/>
    </row>
    <row r="71" spans="2:12" ht="72.75" thickBot="1">
      <c r="B71" s="49">
        <v>42401</v>
      </c>
      <c r="C71" s="568">
        <v>0.01</v>
      </c>
      <c r="D71" s="50" t="s">
        <v>448</v>
      </c>
      <c r="E71" s="568"/>
      <c r="F71" s="590"/>
      <c r="G71" s="590"/>
      <c r="H71" s="590"/>
      <c r="I71" s="590"/>
      <c r="J71" s="590"/>
      <c r="K71" s="590"/>
    </row>
    <row r="72" spans="2:12">
      <c r="B72" s="566"/>
      <c r="C72" s="589"/>
      <c r="D72" s="590"/>
      <c r="E72" s="590"/>
      <c r="F72" s="590"/>
      <c r="G72" s="590"/>
      <c r="H72" s="590"/>
      <c r="I72" s="590"/>
      <c r="J72" s="590"/>
      <c r="K72" s="590"/>
    </row>
    <row r="73" spans="2:12" ht="15.75" thickBot="1">
      <c r="B73" s="590"/>
      <c r="D73" s="590"/>
      <c r="E73" s="590"/>
      <c r="F73" s="590"/>
      <c r="G73" s="590"/>
      <c r="H73" s="590"/>
      <c r="I73" s="590"/>
      <c r="J73" s="590"/>
      <c r="K73" s="590"/>
      <c r="L73" s="590"/>
    </row>
    <row r="74" spans="2:12" ht="15.75" thickBot="1">
      <c r="B74" s="1450" t="s">
        <v>56</v>
      </c>
      <c r="C74" s="1451"/>
      <c r="D74" s="1452"/>
      <c r="E74" s="590"/>
      <c r="F74" s="590"/>
      <c r="G74" s="590"/>
      <c r="H74" s="590"/>
      <c r="I74" s="590"/>
      <c r="J74" s="590"/>
      <c r="K74" s="590"/>
      <c r="L74" s="590"/>
    </row>
    <row r="75" spans="2:12" ht="60.75" thickBot="1">
      <c r="B75" s="563" t="s">
        <v>57</v>
      </c>
      <c r="C75" s="569"/>
      <c r="D75" s="568" t="s">
        <v>419</v>
      </c>
      <c r="E75" s="590"/>
      <c r="F75" s="590"/>
      <c r="G75" s="590"/>
      <c r="H75" s="590"/>
      <c r="I75" s="590"/>
      <c r="J75" s="590"/>
      <c r="K75" s="590"/>
      <c r="L75" s="590"/>
    </row>
    <row r="76" spans="2:12">
      <c r="B76" s="1447" t="s">
        <v>59</v>
      </c>
      <c r="C76" s="93"/>
      <c r="D76" s="564" t="s">
        <v>60</v>
      </c>
      <c r="E76" s="590"/>
      <c r="F76" s="590"/>
      <c r="G76" s="590"/>
      <c r="H76" s="590"/>
      <c r="I76" s="590"/>
      <c r="J76" s="590"/>
      <c r="K76" s="590"/>
      <c r="L76" s="590"/>
    </row>
    <row r="77" spans="2:12" ht="132">
      <c r="B77" s="1448"/>
      <c r="C77" s="93"/>
      <c r="D77" s="567" t="s">
        <v>420</v>
      </c>
      <c r="E77" s="590"/>
      <c r="F77" s="590"/>
      <c r="G77" s="590"/>
      <c r="H77" s="590"/>
      <c r="I77" s="590"/>
      <c r="J77" s="590"/>
      <c r="K77" s="590"/>
      <c r="L77" s="590"/>
    </row>
    <row r="78" spans="2:12">
      <c r="B78" s="1448"/>
      <c r="C78" s="93"/>
      <c r="D78" s="564" t="s">
        <v>63</v>
      </c>
      <c r="E78" s="590"/>
      <c r="F78" s="590"/>
      <c r="G78" s="590"/>
      <c r="H78" s="590"/>
      <c r="I78" s="590"/>
      <c r="J78" s="590"/>
      <c r="K78" s="590"/>
      <c r="L78" s="590"/>
    </row>
    <row r="79" spans="2:12">
      <c r="B79" s="1448"/>
      <c r="C79" s="93"/>
      <c r="D79" s="61" t="s">
        <v>421</v>
      </c>
      <c r="E79" s="590"/>
      <c r="F79" s="590"/>
      <c r="G79" s="590"/>
      <c r="H79" s="590"/>
      <c r="I79" s="590"/>
      <c r="J79" s="590"/>
      <c r="K79" s="590"/>
      <c r="L79" s="590"/>
    </row>
    <row r="80" spans="2:12">
      <c r="B80" s="1448"/>
      <c r="C80" s="93"/>
      <c r="D80" s="61" t="s">
        <v>422</v>
      </c>
      <c r="E80" s="590"/>
      <c r="F80" s="590"/>
      <c r="G80" s="590"/>
      <c r="H80" s="590"/>
      <c r="I80" s="590"/>
      <c r="J80" s="590"/>
      <c r="K80" s="590"/>
      <c r="L80" s="590"/>
    </row>
    <row r="81" spans="2:12">
      <c r="B81" s="1448"/>
      <c r="C81" s="93"/>
      <c r="D81" s="61" t="s">
        <v>423</v>
      </c>
      <c r="E81" s="590"/>
      <c r="F81" s="590"/>
      <c r="G81" s="590"/>
      <c r="H81" s="590"/>
      <c r="I81" s="590"/>
      <c r="J81" s="590"/>
      <c r="K81" s="590"/>
      <c r="L81" s="590"/>
    </row>
    <row r="82" spans="2:12">
      <c r="B82" s="1448"/>
      <c r="C82" s="93"/>
      <c r="D82" s="61" t="s">
        <v>424</v>
      </c>
      <c r="E82" s="590"/>
      <c r="F82" s="590"/>
      <c r="G82" s="590"/>
      <c r="H82" s="590"/>
      <c r="I82" s="590"/>
      <c r="J82" s="590"/>
      <c r="K82" s="590"/>
      <c r="L82" s="590"/>
    </row>
    <row r="83" spans="2:12">
      <c r="B83" s="1448"/>
      <c r="C83" s="93"/>
      <c r="D83" s="564" t="s">
        <v>288</v>
      </c>
      <c r="E83" s="590"/>
      <c r="F83" s="590"/>
      <c r="G83" s="590"/>
      <c r="H83" s="590"/>
      <c r="I83" s="590"/>
      <c r="J83" s="590"/>
      <c r="K83" s="590"/>
      <c r="L83" s="590"/>
    </row>
    <row r="84" spans="2:12" ht="36.75" thickBot="1">
      <c r="B84" s="1449"/>
      <c r="C84" s="569"/>
      <c r="D84" s="568" t="s">
        <v>353</v>
      </c>
      <c r="E84" s="590"/>
      <c r="F84" s="590"/>
      <c r="G84" s="590"/>
      <c r="H84" s="590"/>
      <c r="I84" s="590"/>
      <c r="J84" s="590"/>
      <c r="K84" s="590"/>
      <c r="L84" s="590"/>
    </row>
    <row r="85" spans="2:12">
      <c r="B85" s="1447" t="s">
        <v>72</v>
      </c>
      <c r="C85" s="98"/>
      <c r="D85" s="1447"/>
      <c r="E85" s="590"/>
      <c r="F85" s="590"/>
      <c r="G85" s="590"/>
      <c r="H85" s="590"/>
      <c r="I85" s="590"/>
      <c r="J85" s="590"/>
      <c r="K85" s="590"/>
      <c r="L85" s="590"/>
    </row>
    <row r="86" spans="2:12" ht="15.75" thickBot="1">
      <c r="B86" s="1449"/>
      <c r="C86" s="99"/>
      <c r="D86" s="1449"/>
      <c r="E86" s="590"/>
      <c r="F86" s="590"/>
      <c r="G86" s="590"/>
      <c r="H86" s="590"/>
      <c r="I86" s="590"/>
      <c r="J86" s="590"/>
      <c r="K86" s="590"/>
      <c r="L86" s="590"/>
    </row>
    <row r="87" spans="2:12" ht="132">
      <c r="B87" s="1447" t="s">
        <v>73</v>
      </c>
      <c r="C87" s="93"/>
      <c r="D87" s="567" t="s">
        <v>425</v>
      </c>
      <c r="E87" s="590"/>
      <c r="F87" s="590"/>
      <c r="G87" s="590"/>
      <c r="H87" s="590"/>
      <c r="I87" s="590"/>
      <c r="J87" s="590"/>
      <c r="K87" s="590"/>
      <c r="L87" s="590"/>
    </row>
    <row r="88" spans="2:12" ht="120.75" thickBot="1">
      <c r="B88" s="1449"/>
      <c r="C88" s="569"/>
      <c r="D88" s="568" t="s">
        <v>426</v>
      </c>
      <c r="E88" s="590"/>
      <c r="F88" s="590"/>
      <c r="G88" s="590"/>
      <c r="H88" s="590"/>
      <c r="I88" s="590"/>
      <c r="J88" s="590"/>
      <c r="K88" s="590"/>
      <c r="L88" s="590"/>
    </row>
    <row r="89" spans="2:12" ht="24">
      <c r="B89" s="1447" t="s">
        <v>90</v>
      </c>
      <c r="C89" s="93"/>
      <c r="D89" s="564" t="s">
        <v>418</v>
      </c>
      <c r="E89" s="590"/>
      <c r="F89" s="590"/>
      <c r="G89" s="590"/>
      <c r="H89" s="590"/>
      <c r="I89" s="590"/>
      <c r="J89" s="590"/>
      <c r="K89" s="590"/>
      <c r="L89" s="590"/>
    </row>
    <row r="90" spans="2:12">
      <c r="B90" s="1448"/>
      <c r="C90" s="93"/>
      <c r="D90" s="17"/>
      <c r="E90" s="590"/>
      <c r="F90" s="590"/>
      <c r="G90" s="590"/>
      <c r="H90" s="590"/>
      <c r="I90" s="590"/>
      <c r="J90" s="590"/>
      <c r="K90" s="590"/>
      <c r="L90" s="590"/>
    </row>
    <row r="91" spans="2:12">
      <c r="B91" s="1448"/>
      <c r="C91" s="93"/>
      <c r="D91" s="567" t="s">
        <v>91</v>
      </c>
      <c r="E91" s="590"/>
      <c r="F91" s="590"/>
      <c r="G91" s="590"/>
      <c r="H91" s="590"/>
      <c r="I91" s="590"/>
      <c r="J91" s="590"/>
      <c r="K91" s="590"/>
      <c r="L91" s="590"/>
    </row>
    <row r="92" spans="2:12" ht="37.5">
      <c r="B92" s="1448"/>
      <c r="C92" s="93"/>
      <c r="D92" s="567" t="s">
        <v>427</v>
      </c>
      <c r="E92" s="590"/>
      <c r="F92" s="590"/>
      <c r="G92" s="590"/>
      <c r="H92" s="590"/>
      <c r="I92" s="590"/>
      <c r="J92" s="590"/>
      <c r="K92" s="590"/>
      <c r="L92" s="590"/>
    </row>
    <row r="93" spans="2:12" ht="37.5">
      <c r="B93" s="1448"/>
      <c r="C93" s="93"/>
      <c r="D93" s="567" t="s">
        <v>428</v>
      </c>
      <c r="E93" s="590"/>
      <c r="F93" s="590"/>
      <c r="G93" s="590"/>
      <c r="H93" s="590"/>
      <c r="I93" s="590"/>
      <c r="J93" s="590"/>
      <c r="K93" s="590"/>
      <c r="L93" s="590"/>
    </row>
    <row r="94" spans="2:12" ht="38.25" thickBot="1">
      <c r="B94" s="1449"/>
      <c r="C94" s="569"/>
      <c r="D94" s="568" t="s">
        <v>429</v>
      </c>
      <c r="E94" s="590"/>
      <c r="F94" s="590"/>
      <c r="G94" s="590"/>
      <c r="H94" s="590"/>
      <c r="I94" s="590"/>
      <c r="J94" s="590"/>
      <c r="K94" s="590"/>
      <c r="L94" s="590"/>
    </row>
    <row r="95" spans="2:12">
      <c r="B95" s="590"/>
      <c r="D95" s="590"/>
      <c r="E95" s="590"/>
      <c r="F95" s="590"/>
      <c r="G95" s="590"/>
      <c r="H95" s="590"/>
      <c r="I95" s="590"/>
      <c r="J95" s="590"/>
      <c r="K95" s="590"/>
      <c r="L95" s="590"/>
    </row>
    <row r="96" spans="2:12">
      <c r="B96" s="590"/>
      <c r="D96" s="590"/>
      <c r="E96" s="590"/>
      <c r="F96" s="590"/>
      <c r="G96" s="590"/>
      <c r="H96" s="590"/>
      <c r="I96" s="590"/>
      <c r="J96" s="590"/>
      <c r="K96" s="590"/>
      <c r="L96" s="590"/>
    </row>
    <row r="97" spans="2:12">
      <c r="B97" s="590"/>
      <c r="D97" s="590"/>
      <c r="E97" s="590"/>
      <c r="F97" s="590"/>
      <c r="G97" s="590"/>
      <c r="H97" s="590"/>
      <c r="I97" s="590"/>
      <c r="J97" s="590"/>
      <c r="K97" s="590"/>
      <c r="L97" s="590"/>
    </row>
    <row r="98" spans="2:12">
      <c r="B98" s="590"/>
      <c r="D98" s="590"/>
      <c r="E98" s="590"/>
      <c r="F98" s="590"/>
      <c r="G98" s="590"/>
      <c r="H98" s="590"/>
      <c r="I98" s="590"/>
      <c r="J98" s="590"/>
      <c r="K98" s="590"/>
      <c r="L98" s="590"/>
    </row>
    <row r="99" spans="2:12">
      <c r="B99" s="590"/>
      <c r="D99" s="590"/>
      <c r="E99" s="590"/>
      <c r="F99" s="590"/>
      <c r="G99" s="590"/>
      <c r="H99" s="590"/>
      <c r="I99" s="590"/>
      <c r="J99" s="590"/>
      <c r="K99" s="590"/>
      <c r="L99" s="590"/>
    </row>
    <row r="100" spans="2:12">
      <c r="B100" s="590"/>
      <c r="D100" s="590"/>
      <c r="E100" s="590"/>
      <c r="F100" s="590"/>
      <c r="G100" s="590"/>
      <c r="H100" s="590"/>
      <c r="I100" s="590"/>
      <c r="J100" s="590"/>
      <c r="K100" s="590"/>
      <c r="L100" s="590"/>
    </row>
    <row r="101" spans="2:12">
      <c r="B101" s="590"/>
      <c r="D101" s="590"/>
      <c r="E101" s="590"/>
      <c r="F101" s="590"/>
      <c r="G101" s="590"/>
      <c r="H101" s="590"/>
      <c r="I101" s="590"/>
      <c r="J101" s="590"/>
      <c r="K101" s="590"/>
      <c r="L101" s="590"/>
    </row>
    <row r="102" spans="2:12">
      <c r="B102" s="590"/>
      <c r="D102" s="590"/>
      <c r="E102" s="590"/>
      <c r="F102" s="590"/>
      <c r="G102" s="590"/>
      <c r="H102" s="590"/>
      <c r="I102" s="590"/>
      <c r="J102" s="590"/>
      <c r="K102" s="590"/>
      <c r="L102" s="590"/>
    </row>
    <row r="103" spans="2:12">
      <c r="B103" s="590"/>
      <c r="D103" s="590"/>
      <c r="E103" s="590"/>
      <c r="F103" s="590"/>
      <c r="G103" s="590"/>
      <c r="H103" s="590"/>
      <c r="I103" s="590"/>
      <c r="J103" s="590"/>
      <c r="K103" s="590"/>
      <c r="L103" s="590"/>
    </row>
    <row r="104" spans="2:12">
      <c r="B104" s="590"/>
      <c r="D104" s="590"/>
      <c r="E104" s="590"/>
      <c r="F104" s="590"/>
      <c r="G104" s="590"/>
      <c r="H104" s="590"/>
      <c r="I104" s="590"/>
      <c r="J104" s="590"/>
      <c r="K104" s="590"/>
      <c r="L104" s="590"/>
    </row>
    <row r="105" spans="2:12">
      <c r="B105" s="590"/>
      <c r="D105" s="590"/>
      <c r="E105" s="590"/>
      <c r="F105" s="590"/>
      <c r="G105" s="590"/>
      <c r="H105" s="590"/>
      <c r="I105" s="590"/>
      <c r="J105" s="590"/>
      <c r="K105" s="590"/>
      <c r="L105" s="590"/>
    </row>
    <row r="106" spans="2:12">
      <c r="B106" s="590"/>
      <c r="D106" s="590"/>
      <c r="E106" s="590"/>
      <c r="F106" s="590"/>
      <c r="G106" s="590"/>
      <c r="H106" s="590"/>
      <c r="I106" s="590"/>
      <c r="J106" s="590"/>
      <c r="K106" s="590"/>
      <c r="L106" s="590"/>
    </row>
    <row r="107" spans="2:12">
      <c r="B107" s="590"/>
      <c r="D107" s="590"/>
      <c r="E107" s="590"/>
      <c r="F107" s="590"/>
      <c r="G107" s="590"/>
      <c r="H107" s="590"/>
      <c r="I107" s="590"/>
      <c r="J107" s="590"/>
      <c r="K107" s="590"/>
      <c r="L107" s="590"/>
    </row>
    <row r="108" spans="2:12">
      <c r="B108" s="590"/>
      <c r="D108" s="590"/>
      <c r="E108" s="590"/>
      <c r="F108" s="590"/>
      <c r="G108" s="590"/>
      <c r="H108" s="590"/>
      <c r="I108" s="590"/>
      <c r="J108" s="590"/>
      <c r="K108" s="590"/>
      <c r="L108" s="590"/>
    </row>
    <row r="109" spans="2:12">
      <c r="B109" s="590"/>
      <c r="D109" s="590"/>
      <c r="E109" s="590"/>
      <c r="F109" s="590"/>
      <c r="G109" s="590"/>
      <c r="H109" s="590"/>
      <c r="I109" s="590"/>
      <c r="J109" s="590"/>
      <c r="K109" s="590"/>
      <c r="L109" s="590"/>
    </row>
    <row r="110" spans="2:12">
      <c r="B110" s="590"/>
      <c r="D110" s="590"/>
      <c r="E110" s="590"/>
      <c r="F110" s="590"/>
      <c r="G110" s="590"/>
      <c r="H110" s="590"/>
      <c r="I110" s="590"/>
      <c r="J110" s="590"/>
      <c r="K110" s="590"/>
      <c r="L110" s="590"/>
    </row>
    <row r="111" spans="2:12">
      <c r="B111" s="590"/>
      <c r="D111" s="590"/>
      <c r="E111" s="590"/>
      <c r="F111" s="590"/>
      <c r="G111" s="590"/>
      <c r="H111" s="590"/>
      <c r="I111" s="590"/>
      <c r="J111" s="590"/>
      <c r="K111" s="590"/>
      <c r="L111" s="590"/>
    </row>
    <row r="112" spans="2:12">
      <c r="B112" s="590"/>
      <c r="D112" s="590"/>
      <c r="E112" s="590"/>
      <c r="F112" s="590"/>
      <c r="G112" s="590"/>
      <c r="H112" s="590"/>
      <c r="I112" s="590"/>
      <c r="J112" s="590"/>
      <c r="K112" s="590"/>
      <c r="L112" s="590"/>
    </row>
    <row r="113" spans="2:12">
      <c r="B113" s="590"/>
      <c r="D113" s="590"/>
      <c r="E113" s="590"/>
      <c r="F113" s="590"/>
      <c r="G113" s="590"/>
      <c r="H113" s="590"/>
      <c r="I113" s="590"/>
      <c r="J113" s="590"/>
      <c r="K113" s="590"/>
      <c r="L113" s="590"/>
    </row>
    <row r="114" spans="2:12">
      <c r="B114" s="590"/>
      <c r="D114" s="590"/>
      <c r="E114" s="590"/>
      <c r="F114" s="590"/>
      <c r="G114" s="590"/>
      <c r="H114" s="590"/>
      <c r="I114" s="590"/>
      <c r="J114" s="590"/>
      <c r="K114" s="590"/>
      <c r="L114" s="590"/>
    </row>
    <row r="115" spans="2:12">
      <c r="B115" s="590"/>
      <c r="D115" s="590"/>
      <c r="E115" s="590"/>
      <c r="F115" s="590"/>
      <c r="G115" s="590"/>
      <c r="H115" s="590"/>
      <c r="I115" s="590"/>
      <c r="J115" s="590"/>
      <c r="K115" s="590"/>
      <c r="L115" s="590"/>
    </row>
    <row r="116" spans="2:12">
      <c r="B116" s="590"/>
      <c r="D116" s="590"/>
      <c r="E116" s="590"/>
      <c r="F116" s="590"/>
      <c r="G116" s="590"/>
      <c r="H116" s="590"/>
      <c r="I116" s="590"/>
      <c r="J116" s="590"/>
      <c r="K116" s="590"/>
      <c r="L116" s="590"/>
    </row>
    <row r="117" spans="2:12">
      <c r="B117" s="590"/>
      <c r="D117" s="590"/>
      <c r="E117" s="590"/>
      <c r="F117" s="590"/>
      <c r="G117" s="590"/>
      <c r="H117" s="590"/>
      <c r="I117" s="590"/>
      <c r="J117" s="590"/>
      <c r="K117" s="590"/>
      <c r="L117" s="590"/>
    </row>
    <row r="118" spans="2:12">
      <c r="B118" s="590"/>
      <c r="D118" s="590"/>
      <c r="E118" s="590"/>
      <c r="F118" s="590"/>
      <c r="G118" s="590"/>
      <c r="H118" s="590"/>
      <c r="I118" s="590"/>
      <c r="J118" s="590"/>
      <c r="K118" s="590"/>
      <c r="L118" s="590"/>
    </row>
    <row r="119" spans="2:12">
      <c r="B119" s="590"/>
      <c r="D119" s="590"/>
      <c r="E119" s="590"/>
      <c r="F119" s="590"/>
      <c r="G119" s="590"/>
      <c r="H119" s="590"/>
      <c r="I119" s="590"/>
      <c r="J119" s="590"/>
      <c r="K119" s="590"/>
      <c r="L119" s="590"/>
    </row>
    <row r="120" spans="2:12">
      <c r="B120" s="590"/>
      <c r="D120" s="590"/>
      <c r="E120" s="590"/>
      <c r="F120" s="590"/>
      <c r="G120" s="590"/>
      <c r="H120" s="590"/>
      <c r="I120" s="590"/>
      <c r="J120" s="590"/>
      <c r="K120" s="590"/>
      <c r="L120" s="590"/>
    </row>
    <row r="121" spans="2:12">
      <c r="B121" s="590"/>
      <c r="D121" s="590"/>
      <c r="E121" s="590"/>
      <c r="F121" s="590"/>
      <c r="G121" s="590"/>
      <c r="H121" s="590"/>
      <c r="I121" s="590"/>
      <c r="J121" s="590"/>
      <c r="K121" s="590"/>
      <c r="L121" s="590"/>
    </row>
    <row r="122" spans="2:12">
      <c r="B122" s="590"/>
      <c r="D122" s="590"/>
      <c r="E122" s="590"/>
      <c r="F122" s="590"/>
      <c r="G122" s="590"/>
      <c r="H122" s="590"/>
      <c r="I122" s="590"/>
      <c r="J122" s="590"/>
      <c r="K122" s="590"/>
      <c r="L122" s="590"/>
    </row>
    <row r="123" spans="2:12">
      <c r="B123" s="590"/>
      <c r="D123" s="590"/>
      <c r="E123" s="590"/>
      <c r="F123" s="590"/>
      <c r="G123" s="590"/>
      <c r="H123" s="590"/>
      <c r="I123" s="590"/>
      <c r="J123" s="590"/>
      <c r="K123" s="590"/>
      <c r="L123" s="590"/>
    </row>
    <row r="124" spans="2:12">
      <c r="B124" s="590"/>
      <c r="D124" s="590"/>
      <c r="E124" s="590"/>
      <c r="F124" s="590"/>
      <c r="G124" s="590"/>
      <c r="H124" s="590"/>
      <c r="I124" s="590"/>
      <c r="J124" s="590"/>
      <c r="K124" s="590"/>
      <c r="L124" s="590"/>
    </row>
    <row r="125" spans="2:12">
      <c r="B125" s="590"/>
      <c r="D125" s="590"/>
      <c r="E125" s="590"/>
      <c r="F125" s="590"/>
      <c r="G125" s="590"/>
      <c r="H125" s="590"/>
      <c r="I125" s="590"/>
      <c r="J125" s="590"/>
      <c r="K125" s="590"/>
      <c r="L125" s="590"/>
    </row>
    <row r="126" spans="2:12">
      <c r="B126" s="590"/>
      <c r="D126" s="590"/>
      <c r="E126" s="590"/>
      <c r="F126" s="590"/>
      <c r="G126" s="590"/>
      <c r="H126" s="590"/>
      <c r="I126" s="590"/>
      <c r="J126" s="590"/>
      <c r="K126" s="590"/>
      <c r="L126" s="590"/>
    </row>
    <row r="127" spans="2:12">
      <c r="B127" s="590"/>
      <c r="D127" s="590"/>
      <c r="E127" s="590"/>
      <c r="F127" s="590"/>
      <c r="G127" s="590"/>
      <c r="H127" s="590"/>
      <c r="I127" s="590"/>
      <c r="J127" s="590"/>
      <c r="K127" s="590"/>
      <c r="L127" s="590"/>
    </row>
    <row r="128" spans="2:12">
      <c r="B128" s="590"/>
      <c r="D128" s="590"/>
      <c r="E128" s="590"/>
      <c r="F128" s="590"/>
      <c r="G128" s="590"/>
      <c r="H128" s="590"/>
      <c r="I128" s="590"/>
      <c r="J128" s="590"/>
      <c r="K128" s="590"/>
      <c r="L128" s="590"/>
    </row>
    <row r="129" spans="2:12">
      <c r="B129" s="590"/>
      <c r="D129" s="590"/>
      <c r="E129" s="590"/>
      <c r="F129" s="590"/>
      <c r="G129" s="590"/>
      <c r="H129" s="590"/>
      <c r="I129" s="590"/>
      <c r="J129" s="590"/>
      <c r="K129" s="590"/>
      <c r="L129" s="590"/>
    </row>
    <row r="130" spans="2:12">
      <c r="B130" s="590"/>
      <c r="D130" s="590"/>
      <c r="E130" s="590"/>
      <c r="F130" s="590"/>
      <c r="G130" s="590"/>
      <c r="H130" s="590"/>
      <c r="I130" s="590"/>
      <c r="J130" s="590"/>
      <c r="K130" s="590"/>
      <c r="L130" s="590"/>
    </row>
    <row r="131" spans="2:12">
      <c r="B131" s="590"/>
      <c r="D131" s="590"/>
      <c r="E131" s="590"/>
      <c r="F131" s="590"/>
      <c r="G131" s="590"/>
      <c r="H131" s="590"/>
      <c r="I131" s="590"/>
      <c r="J131" s="590"/>
      <c r="K131" s="590"/>
      <c r="L131" s="590"/>
    </row>
    <row r="132" spans="2:12">
      <c r="B132" s="590"/>
      <c r="D132" s="590"/>
      <c r="E132" s="590"/>
      <c r="F132" s="590"/>
      <c r="G132" s="590"/>
      <c r="H132" s="590"/>
      <c r="I132" s="590"/>
      <c r="J132" s="590"/>
      <c r="K132" s="590"/>
      <c r="L132" s="590"/>
    </row>
    <row r="133" spans="2:12">
      <c r="B133" s="590"/>
      <c r="D133" s="590"/>
      <c r="E133" s="590"/>
      <c r="F133" s="590"/>
      <c r="G133" s="590"/>
      <c r="H133" s="590"/>
      <c r="I133" s="590"/>
      <c r="J133" s="590"/>
      <c r="K133" s="590"/>
      <c r="L133" s="590"/>
    </row>
    <row r="134" spans="2:12">
      <c r="B134" s="590"/>
      <c r="D134" s="590"/>
      <c r="E134" s="590"/>
      <c r="F134" s="590"/>
      <c r="G134" s="590"/>
      <c r="H134" s="590"/>
      <c r="I134" s="590"/>
      <c r="J134" s="590"/>
      <c r="K134" s="590"/>
      <c r="L134" s="590"/>
    </row>
    <row r="135" spans="2:12">
      <c r="B135" s="590"/>
      <c r="D135" s="590"/>
      <c r="E135" s="590"/>
      <c r="F135" s="590"/>
      <c r="G135" s="590"/>
      <c r="H135" s="590"/>
      <c r="I135" s="590"/>
      <c r="J135" s="590"/>
      <c r="K135" s="590"/>
      <c r="L135" s="590"/>
    </row>
    <row r="136" spans="2:12">
      <c r="B136" s="590"/>
      <c r="D136" s="590"/>
      <c r="E136" s="590"/>
      <c r="F136" s="590"/>
      <c r="G136" s="590"/>
      <c r="H136" s="590"/>
      <c r="I136" s="590"/>
      <c r="J136" s="590"/>
      <c r="K136" s="590"/>
      <c r="L136" s="590"/>
    </row>
    <row r="137" spans="2:12">
      <c r="B137" s="590"/>
      <c r="D137" s="590"/>
      <c r="E137" s="590"/>
      <c r="F137" s="590"/>
      <c r="G137" s="590"/>
      <c r="H137" s="590"/>
      <c r="I137" s="590"/>
      <c r="J137" s="590"/>
      <c r="K137" s="590"/>
      <c r="L137" s="590"/>
    </row>
    <row r="138" spans="2:12">
      <c r="B138" s="590"/>
      <c r="D138" s="590"/>
      <c r="E138" s="590"/>
      <c r="F138" s="590"/>
      <c r="G138" s="590"/>
      <c r="H138" s="590"/>
      <c r="I138" s="590"/>
      <c r="J138" s="590"/>
      <c r="K138" s="590"/>
      <c r="L138" s="590"/>
    </row>
    <row r="139" spans="2:12">
      <c r="B139" s="590"/>
      <c r="D139" s="590"/>
      <c r="E139" s="590"/>
      <c r="F139" s="590"/>
      <c r="G139" s="590"/>
      <c r="H139" s="590"/>
      <c r="I139" s="590"/>
      <c r="J139" s="590"/>
      <c r="K139" s="590"/>
      <c r="L139" s="590"/>
    </row>
    <row r="140" spans="2:12">
      <c r="B140" s="590"/>
      <c r="D140" s="590"/>
      <c r="E140" s="590"/>
      <c r="F140" s="590"/>
      <c r="G140" s="590"/>
      <c r="H140" s="590"/>
      <c r="I140" s="590"/>
      <c r="J140" s="590"/>
      <c r="K140" s="590"/>
      <c r="L140" s="590"/>
    </row>
    <row r="141" spans="2:12">
      <c r="B141" s="590"/>
      <c r="D141" s="590"/>
      <c r="E141" s="590"/>
      <c r="F141" s="590"/>
      <c r="G141" s="590"/>
      <c r="H141" s="590"/>
      <c r="I141" s="590"/>
      <c r="J141" s="590"/>
      <c r="K141" s="590"/>
      <c r="L141" s="590"/>
    </row>
    <row r="142" spans="2:12">
      <c r="B142" s="590"/>
      <c r="D142" s="590"/>
      <c r="E142" s="590"/>
      <c r="F142" s="590"/>
      <c r="G142" s="590"/>
      <c r="H142" s="590"/>
      <c r="I142" s="590"/>
      <c r="J142" s="590"/>
      <c r="K142" s="590"/>
      <c r="L142" s="590"/>
    </row>
    <row r="143" spans="2:12">
      <c r="B143" s="590"/>
      <c r="D143" s="590"/>
      <c r="E143" s="590"/>
      <c r="F143" s="590"/>
      <c r="G143" s="590"/>
      <c r="H143" s="590"/>
      <c r="I143" s="590"/>
      <c r="J143" s="590"/>
      <c r="K143" s="590"/>
      <c r="L143" s="590"/>
    </row>
    <row r="144" spans="2:12">
      <c r="B144" s="590"/>
      <c r="D144" s="590"/>
      <c r="E144" s="590"/>
      <c r="F144" s="590"/>
      <c r="G144" s="590"/>
      <c r="H144" s="590"/>
      <c r="I144" s="590"/>
      <c r="J144" s="590"/>
      <c r="K144" s="590"/>
      <c r="L144" s="590"/>
    </row>
    <row r="145" spans="2:12">
      <c r="B145" s="590"/>
      <c r="D145" s="590"/>
      <c r="E145" s="590"/>
      <c r="F145" s="590"/>
      <c r="G145" s="590"/>
      <c r="H145" s="590"/>
      <c r="I145" s="590"/>
      <c r="J145" s="590"/>
      <c r="K145" s="590"/>
      <c r="L145" s="590"/>
    </row>
    <row r="146" spans="2:12">
      <c r="B146" s="590"/>
      <c r="D146" s="590"/>
      <c r="E146" s="590"/>
      <c r="F146" s="590"/>
      <c r="G146" s="590"/>
      <c r="H146" s="590"/>
      <c r="I146" s="590"/>
      <c r="J146" s="590"/>
      <c r="K146" s="590"/>
      <c r="L146" s="590"/>
    </row>
    <row r="147" spans="2:12">
      <c r="B147" s="590"/>
      <c r="D147" s="590"/>
      <c r="E147" s="590"/>
      <c r="F147" s="590"/>
      <c r="G147" s="590"/>
      <c r="H147" s="590"/>
      <c r="I147" s="590"/>
      <c r="J147" s="590"/>
      <c r="K147" s="590"/>
      <c r="L147" s="590"/>
    </row>
    <row r="148" spans="2:12">
      <c r="B148" s="590"/>
      <c r="D148" s="590"/>
      <c r="E148" s="590"/>
      <c r="F148" s="590"/>
      <c r="G148" s="590"/>
      <c r="H148" s="590"/>
      <c r="I148" s="590"/>
      <c r="J148" s="590"/>
      <c r="K148" s="590"/>
      <c r="L148" s="590"/>
    </row>
    <row r="149" spans="2:12">
      <c r="B149" s="590"/>
      <c r="D149" s="590"/>
      <c r="E149" s="590"/>
      <c r="F149" s="590"/>
      <c r="G149" s="590"/>
      <c r="H149" s="590"/>
      <c r="I149" s="590"/>
      <c r="J149" s="590"/>
      <c r="K149" s="590"/>
      <c r="L149" s="590"/>
    </row>
    <row r="150" spans="2:12">
      <c r="B150" s="590"/>
      <c r="D150" s="590"/>
      <c r="E150" s="590"/>
      <c r="F150" s="590"/>
      <c r="G150" s="590"/>
      <c r="H150" s="590"/>
      <c r="I150" s="590"/>
      <c r="J150" s="590"/>
      <c r="K150" s="590"/>
      <c r="L150" s="590"/>
    </row>
    <row r="151" spans="2:12">
      <c r="B151" s="590"/>
      <c r="D151" s="590"/>
      <c r="E151" s="590"/>
      <c r="F151" s="590"/>
      <c r="G151" s="590"/>
      <c r="H151" s="590"/>
      <c r="I151" s="590"/>
      <c r="J151" s="590"/>
      <c r="K151" s="590"/>
      <c r="L151" s="590"/>
    </row>
    <row r="152" spans="2:12">
      <c r="B152" s="590"/>
      <c r="D152" s="590"/>
      <c r="E152" s="590"/>
      <c r="F152" s="590"/>
      <c r="G152" s="590"/>
      <c r="H152" s="590"/>
      <c r="I152" s="590"/>
      <c r="J152" s="590"/>
      <c r="K152" s="590"/>
      <c r="L152" s="590"/>
    </row>
    <row r="153" spans="2:12">
      <c r="B153" s="590"/>
      <c r="D153" s="590"/>
      <c r="E153" s="590"/>
      <c r="F153" s="590"/>
      <c r="G153" s="590"/>
      <c r="H153" s="590"/>
      <c r="I153" s="590"/>
      <c r="J153" s="590"/>
      <c r="K153" s="590"/>
      <c r="L153" s="590"/>
    </row>
    <row r="154" spans="2:12">
      <c r="B154" s="590"/>
      <c r="D154" s="590"/>
      <c r="E154" s="590"/>
      <c r="F154" s="590"/>
      <c r="G154" s="590"/>
      <c r="H154" s="590"/>
      <c r="I154" s="590"/>
      <c r="J154" s="590"/>
      <c r="K154" s="590"/>
      <c r="L154" s="590"/>
    </row>
    <row r="155" spans="2:12">
      <c r="B155" s="590"/>
      <c r="D155" s="590"/>
      <c r="E155" s="590"/>
      <c r="F155" s="590"/>
      <c r="G155" s="590"/>
      <c r="H155" s="590"/>
      <c r="I155" s="590"/>
      <c r="J155" s="590"/>
      <c r="K155" s="590"/>
      <c r="L155" s="590"/>
    </row>
    <row r="156" spans="2:12">
      <c r="B156" s="590"/>
      <c r="D156" s="590"/>
      <c r="E156" s="590"/>
      <c r="F156" s="590"/>
      <c r="G156" s="590"/>
      <c r="H156" s="590"/>
      <c r="I156" s="590"/>
      <c r="J156" s="590"/>
      <c r="K156" s="590"/>
      <c r="L156" s="590"/>
    </row>
    <row r="157" spans="2:12">
      <c r="B157" s="590"/>
      <c r="D157" s="590"/>
      <c r="E157" s="590"/>
      <c r="F157" s="590"/>
      <c r="G157" s="590"/>
      <c r="H157" s="590"/>
      <c r="I157" s="590"/>
      <c r="J157" s="590"/>
      <c r="K157" s="590"/>
      <c r="L157" s="590"/>
    </row>
    <row r="158" spans="2:12">
      <c r="B158" s="590"/>
      <c r="D158" s="590"/>
      <c r="E158" s="590"/>
      <c r="F158" s="590"/>
      <c r="G158" s="590"/>
      <c r="H158" s="590"/>
      <c r="I158" s="590"/>
      <c r="J158" s="590"/>
      <c r="K158" s="590"/>
      <c r="L158" s="590"/>
    </row>
    <row r="159" spans="2:12">
      <c r="B159" s="590"/>
      <c r="D159" s="590"/>
      <c r="E159" s="590"/>
      <c r="F159" s="590"/>
      <c r="G159" s="590"/>
      <c r="H159" s="590"/>
      <c r="I159" s="590"/>
      <c r="J159" s="590"/>
      <c r="K159" s="590"/>
      <c r="L159" s="590"/>
    </row>
    <row r="160" spans="2:12">
      <c r="B160" s="590"/>
      <c r="D160" s="590"/>
      <c r="E160" s="590"/>
      <c r="F160" s="590"/>
      <c r="G160" s="590"/>
      <c r="H160" s="590"/>
      <c r="I160" s="590"/>
      <c r="J160" s="590"/>
      <c r="K160" s="590"/>
      <c r="L160" s="590"/>
    </row>
    <row r="161" spans="2:12">
      <c r="B161" s="590"/>
      <c r="D161" s="590"/>
      <c r="E161" s="590"/>
      <c r="F161" s="590"/>
      <c r="G161" s="590"/>
      <c r="H161" s="590"/>
      <c r="I161" s="590"/>
      <c r="J161" s="590"/>
      <c r="K161" s="590"/>
      <c r="L161" s="590"/>
    </row>
    <row r="162" spans="2:12">
      <c r="B162" s="590"/>
      <c r="D162" s="590"/>
      <c r="E162" s="590"/>
      <c r="F162" s="590"/>
      <c r="G162" s="590"/>
      <c r="H162" s="590"/>
      <c r="I162" s="590"/>
      <c r="J162" s="590"/>
      <c r="K162" s="590"/>
      <c r="L162" s="590"/>
    </row>
    <row r="163" spans="2:12">
      <c r="B163" s="590"/>
      <c r="D163" s="590"/>
      <c r="E163" s="590"/>
      <c r="F163" s="590"/>
      <c r="G163" s="590"/>
      <c r="H163" s="590"/>
      <c r="I163" s="590"/>
      <c r="J163" s="590"/>
      <c r="K163" s="590"/>
      <c r="L163" s="590"/>
    </row>
    <row r="164" spans="2:12">
      <c r="B164" s="590"/>
      <c r="D164" s="590"/>
      <c r="E164" s="590"/>
      <c r="F164" s="590"/>
      <c r="G164" s="590"/>
      <c r="H164" s="590"/>
      <c r="I164" s="590"/>
      <c r="J164" s="590"/>
      <c r="K164" s="590"/>
      <c r="L164" s="590"/>
    </row>
    <row r="165" spans="2:12">
      <c r="B165" s="590"/>
      <c r="D165" s="590"/>
      <c r="E165" s="590"/>
      <c r="F165" s="590"/>
      <c r="G165" s="590"/>
      <c r="H165" s="590"/>
      <c r="I165" s="590"/>
      <c r="J165" s="590"/>
      <c r="K165" s="590"/>
      <c r="L165" s="590"/>
    </row>
    <row r="166" spans="2:12">
      <c r="B166" s="590"/>
      <c r="D166" s="590"/>
      <c r="E166" s="590"/>
      <c r="F166" s="590"/>
      <c r="G166" s="590"/>
      <c r="H166" s="590"/>
      <c r="I166" s="590"/>
      <c r="J166" s="590"/>
      <c r="K166" s="590"/>
      <c r="L166" s="590"/>
    </row>
    <row r="167" spans="2:12">
      <c r="B167" s="590"/>
      <c r="D167" s="590"/>
      <c r="E167" s="590"/>
      <c r="F167" s="590"/>
      <c r="G167" s="590"/>
      <c r="H167" s="590"/>
      <c r="I167" s="590"/>
      <c r="J167" s="590"/>
      <c r="K167" s="590"/>
      <c r="L167" s="590"/>
    </row>
    <row r="168" spans="2:12">
      <c r="B168" s="590"/>
      <c r="D168" s="590"/>
      <c r="E168" s="590"/>
      <c r="F168" s="590"/>
      <c r="G168" s="590"/>
      <c r="H168" s="590"/>
      <c r="I168" s="590"/>
      <c r="J168" s="590"/>
      <c r="K168" s="590"/>
      <c r="L168" s="590"/>
    </row>
    <row r="169" spans="2:12">
      <c r="B169" s="590"/>
      <c r="D169" s="590"/>
      <c r="E169" s="590"/>
      <c r="F169" s="590"/>
      <c r="G169" s="590"/>
      <c r="H169" s="590"/>
      <c r="I169" s="590"/>
      <c r="J169" s="590"/>
      <c r="K169" s="590"/>
      <c r="L169" s="590"/>
    </row>
    <row r="170" spans="2:12">
      <c r="B170" s="590"/>
      <c r="D170" s="590"/>
      <c r="E170" s="590"/>
      <c r="F170" s="590"/>
      <c r="G170" s="590"/>
      <c r="H170" s="590"/>
      <c r="I170" s="590"/>
      <c r="J170" s="590"/>
      <c r="K170" s="590"/>
      <c r="L170" s="590"/>
    </row>
    <row r="171" spans="2:12">
      <c r="B171" s="590"/>
      <c r="D171" s="590"/>
      <c r="E171" s="590"/>
      <c r="F171" s="590"/>
      <c r="G171" s="590"/>
      <c r="H171" s="590"/>
      <c r="I171" s="590"/>
      <c r="J171" s="590"/>
      <c r="K171" s="590"/>
      <c r="L171" s="590"/>
    </row>
    <row r="172" spans="2:12">
      <c r="B172" s="590"/>
      <c r="D172" s="590"/>
      <c r="E172" s="590"/>
      <c r="F172" s="590"/>
      <c r="G172" s="590"/>
      <c r="H172" s="590"/>
      <c r="I172" s="590"/>
      <c r="J172" s="590"/>
      <c r="K172" s="590"/>
      <c r="L172" s="590"/>
    </row>
    <row r="173" spans="2:12">
      <c r="B173" s="590"/>
      <c r="D173" s="590"/>
      <c r="E173" s="590"/>
      <c r="F173" s="590"/>
      <c r="G173" s="590"/>
      <c r="H173" s="590"/>
      <c r="I173" s="590"/>
      <c r="J173" s="590"/>
      <c r="K173" s="590"/>
      <c r="L173" s="590"/>
    </row>
    <row r="174" spans="2:12">
      <c r="B174" s="590"/>
      <c r="D174" s="590"/>
      <c r="E174" s="590"/>
      <c r="F174" s="590"/>
      <c r="G174" s="590"/>
      <c r="H174" s="590"/>
      <c r="I174" s="590"/>
      <c r="J174" s="590"/>
      <c r="K174" s="590"/>
      <c r="L174" s="590"/>
    </row>
    <row r="175" spans="2:12">
      <c r="B175" s="590"/>
      <c r="D175" s="590"/>
      <c r="E175" s="590"/>
      <c r="F175" s="590"/>
      <c r="G175" s="590"/>
      <c r="H175" s="590"/>
      <c r="I175" s="590"/>
      <c r="J175" s="590"/>
      <c r="K175" s="590"/>
      <c r="L175" s="590"/>
    </row>
    <row r="176" spans="2:12">
      <c r="B176" s="590"/>
      <c r="D176" s="590"/>
      <c r="E176" s="590"/>
      <c r="F176" s="590"/>
      <c r="G176" s="590"/>
      <c r="H176" s="590"/>
      <c r="I176" s="590"/>
      <c r="J176" s="590"/>
      <c r="K176" s="590"/>
      <c r="L176" s="590"/>
    </row>
    <row r="177" spans="2:12">
      <c r="B177" s="590"/>
      <c r="D177" s="590"/>
      <c r="E177" s="590"/>
      <c r="F177" s="590"/>
      <c r="G177" s="590"/>
      <c r="H177" s="590"/>
      <c r="I177" s="590"/>
      <c r="J177" s="590"/>
      <c r="K177" s="590"/>
      <c r="L177" s="590"/>
    </row>
    <row r="178" spans="2:12">
      <c r="B178" s="590"/>
      <c r="D178" s="590"/>
      <c r="E178" s="590"/>
      <c r="F178" s="590"/>
      <c r="G178" s="590"/>
      <c r="H178" s="590"/>
      <c r="I178" s="590"/>
      <c r="J178" s="590"/>
      <c r="K178" s="590"/>
      <c r="L178" s="590"/>
    </row>
    <row r="179" spans="2:12">
      <c r="B179" s="590"/>
      <c r="D179" s="590"/>
      <c r="E179" s="590"/>
      <c r="F179" s="590"/>
      <c r="G179" s="590"/>
      <c r="H179" s="590"/>
      <c r="I179" s="590"/>
      <c r="J179" s="590"/>
      <c r="K179" s="590"/>
      <c r="L179" s="590"/>
    </row>
    <row r="180" spans="2:12">
      <c r="B180" s="590"/>
      <c r="D180" s="590"/>
      <c r="E180" s="590"/>
      <c r="F180" s="590"/>
      <c r="G180" s="590"/>
      <c r="H180" s="590"/>
      <c r="I180" s="590"/>
      <c r="J180" s="590"/>
      <c r="K180" s="590"/>
      <c r="L180" s="590"/>
    </row>
    <row r="181" spans="2:12">
      <c r="B181" s="590"/>
      <c r="D181" s="590"/>
      <c r="E181" s="590"/>
      <c r="F181" s="590"/>
      <c r="G181" s="590"/>
      <c r="H181" s="590"/>
      <c r="I181" s="590"/>
      <c r="J181" s="590"/>
      <c r="K181" s="590"/>
      <c r="L181" s="590"/>
    </row>
    <row r="182" spans="2:12">
      <c r="B182" s="590"/>
      <c r="D182" s="590"/>
      <c r="E182" s="590"/>
      <c r="F182" s="590"/>
      <c r="G182" s="590"/>
      <c r="H182" s="590"/>
      <c r="I182" s="590"/>
      <c r="J182" s="590"/>
      <c r="K182" s="590"/>
      <c r="L182" s="590"/>
    </row>
    <row r="183" spans="2:12">
      <c r="B183" s="590"/>
      <c r="D183" s="590"/>
      <c r="E183" s="590"/>
      <c r="F183" s="590"/>
      <c r="G183" s="590"/>
      <c r="H183" s="590"/>
      <c r="I183" s="590"/>
      <c r="J183" s="590"/>
      <c r="K183" s="590"/>
      <c r="L183" s="590"/>
    </row>
    <row r="184" spans="2:12">
      <c r="K184" s="590"/>
      <c r="L184" s="590"/>
    </row>
  </sheetData>
  <mergeCells count="42">
    <mergeCell ref="A1:P1"/>
    <mergeCell ref="A2:P2"/>
    <mergeCell ref="A3:P3"/>
    <mergeCell ref="A4:D4"/>
    <mergeCell ref="A5:P5"/>
    <mergeCell ref="B69:F69"/>
    <mergeCell ref="D44:I44"/>
    <mergeCell ref="D45:I45"/>
    <mergeCell ref="B47:E47"/>
    <mergeCell ref="B48:B54"/>
    <mergeCell ref="B56:E56"/>
    <mergeCell ref="B57:B63"/>
    <mergeCell ref="B66:D67"/>
    <mergeCell ref="B15:B43"/>
    <mergeCell ref="D15:I15"/>
    <mergeCell ref="D22:I22"/>
    <mergeCell ref="D23:I23"/>
    <mergeCell ref="D31:I31"/>
    <mergeCell ref="D32:I32"/>
    <mergeCell ref="D33:I33"/>
    <mergeCell ref="D43:I43"/>
    <mergeCell ref="B89:B94"/>
    <mergeCell ref="B74:D74"/>
    <mergeCell ref="B76:B84"/>
    <mergeCell ref="B85:B86"/>
    <mergeCell ref="D85:D86"/>
    <mergeCell ref="B87:B88"/>
    <mergeCell ref="N24:N25"/>
    <mergeCell ref="O24:O25"/>
    <mergeCell ref="P24:P25"/>
    <mergeCell ref="K24:K25"/>
    <mergeCell ref="K39:K40"/>
    <mergeCell ref="L39:L40"/>
    <mergeCell ref="M39:M40"/>
    <mergeCell ref="L24:L25"/>
    <mergeCell ref="M24:M25"/>
    <mergeCell ref="B10:D10"/>
    <mergeCell ref="F10:S10"/>
    <mergeCell ref="F11:S11"/>
    <mergeCell ref="E12:R12"/>
    <mergeCell ref="E13:R13"/>
    <mergeCell ref="B12:D12"/>
  </mergeCells>
  <conditionalFormatting sqref="I20">
    <cfRule type="containsErrors" dxfId="99" priority="7">
      <formula>ISERROR(I20)</formula>
    </cfRule>
  </conditionalFormatting>
  <conditionalFormatting sqref="I25">
    <cfRule type="containsText" dxfId="98" priority="6" operator="containsText" text="debe">
      <formula>NOT(ISERROR(SEARCH("debe",I25)))</formula>
    </cfRule>
  </conditionalFormatting>
  <conditionalFormatting sqref="E12:R12">
    <cfRule type="expression" dxfId="97" priority="2">
      <formula>E11="SI SE REPORTA"</formula>
    </cfRule>
  </conditionalFormatting>
  <conditionalFormatting sqref="F10:S11">
    <cfRule type="expression" dxfId="96" priority="1">
      <formula>F9="SI SE REPORTA"</formula>
    </cfRule>
  </conditionalFormatting>
  <dataValidations count="6">
    <dataValidation type="whole" operator="greaterThanOrEqual" allowBlank="1" showInputMessage="1" showErrorMessage="1" errorTitle="ERROR" error="Valor en HECTAREAS (sin decimales)" sqref="E17:E19 E21 E25:H29 F35:F42 I26:I30 L41:L45">
      <formula1>0</formula1>
    </dataValidation>
    <dataValidation allowBlank="1" showInputMessage="1" showErrorMessage="1" promptTitle="ESTADO" prompt="en formulación_x000a_en actualización_x000a_en adopción_x000a_adoptado" sqref="G35:G42"/>
    <dataValidation type="whole" errorStyle="warning" operator="equal" allowBlank="1" showInputMessage="1" showErrorMessage="1" error="LA SUMA DEBE SER IGUAL A LA META CUATRIENAL" promptTitle="OJO" prompt="LA SUMA DEBE SER IGUAL A LA META CUATRIENAL" sqref="I25">
      <formula1>E20</formula1>
    </dataValidation>
    <dataValidation type="decimal" allowBlank="1" showInputMessage="1" showErrorMessage="1" errorTitle="ERROR" error="Escriba un valor entre 0% y 100%" sqref="L26:L29">
      <formula1>0</formula1>
      <formula2>1</formula2>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177"/>
  <sheetViews>
    <sheetView showGridLines="0" topLeftCell="B19" zoomScale="98" zoomScaleNormal="98" workbookViewId="0">
      <selection activeCell="D27" sqref="D27"/>
    </sheetView>
  </sheetViews>
  <sheetFormatPr baseColWidth="10" defaultRowHeight="15"/>
  <cols>
    <col min="1" max="1" width="1.85546875" customWidth="1"/>
    <col min="2" max="2" width="12.85546875" customWidth="1"/>
    <col min="3" max="3" width="5" style="86" bestFit="1" customWidth="1"/>
    <col min="4" max="4" width="34.85546875" customWidth="1"/>
    <col min="5" max="5" width="12.140625" customWidth="1"/>
    <col min="6" max="6" width="14.85546875" customWidth="1"/>
    <col min="8" max="9" width="14.42578125" bestFit="1" customWidth="1"/>
    <col min="10" max="11" width="15.42578125" bestFit="1" customWidth="1"/>
    <col min="12" max="12" width="38.42578125" customWidth="1"/>
  </cols>
  <sheetData>
    <row r="1" spans="1:20" s="490" customFormat="1" ht="100.5" customHeight="1" thickBot="1">
      <c r="A1" s="1334"/>
      <c r="B1" s="1335"/>
      <c r="C1" s="1335"/>
      <c r="D1" s="1335"/>
      <c r="E1" s="1335"/>
      <c r="F1" s="1335"/>
      <c r="G1" s="1335"/>
      <c r="H1" s="1335"/>
      <c r="I1" s="1335"/>
      <c r="J1" s="1335"/>
      <c r="K1" s="1335"/>
      <c r="L1" s="1335"/>
      <c r="M1" s="1335"/>
      <c r="N1" s="1335"/>
      <c r="O1" s="1335"/>
      <c r="P1" s="1336"/>
      <c r="Q1" s="389"/>
      <c r="R1" s="389"/>
    </row>
    <row r="2" spans="1:20" s="491" customFormat="1" ht="16.5" thickBot="1">
      <c r="A2" s="1342" t="str">
        <f>'Datos Generales'!C5</f>
        <v>Corporación Autónoma Regional del Cesar – CORPOCESAR</v>
      </c>
      <c r="B2" s="1343"/>
      <c r="C2" s="1343"/>
      <c r="D2" s="1343"/>
      <c r="E2" s="1343"/>
      <c r="F2" s="1343"/>
      <c r="G2" s="1343"/>
      <c r="H2" s="1343"/>
      <c r="I2" s="1343"/>
      <c r="J2" s="1343"/>
      <c r="K2" s="1343"/>
      <c r="L2" s="1343"/>
      <c r="M2" s="1343"/>
      <c r="N2" s="1343"/>
      <c r="O2" s="1343"/>
      <c r="P2" s="1344"/>
      <c r="Q2" s="389"/>
      <c r="R2" s="389"/>
    </row>
    <row r="3" spans="1:20" s="491" customFormat="1" ht="16.5" thickBot="1">
      <c r="A3" s="1337" t="s">
        <v>1294</v>
      </c>
      <c r="B3" s="1338"/>
      <c r="C3" s="1338"/>
      <c r="D3" s="1338"/>
      <c r="E3" s="1338"/>
      <c r="F3" s="1338"/>
      <c r="G3" s="1338"/>
      <c r="H3" s="1338"/>
      <c r="I3" s="1338"/>
      <c r="J3" s="1338"/>
      <c r="K3" s="1338"/>
      <c r="L3" s="1338"/>
      <c r="M3" s="1338"/>
      <c r="N3" s="1338"/>
      <c r="O3" s="1338"/>
      <c r="P3" s="1339"/>
      <c r="Q3" s="389"/>
      <c r="R3" s="389"/>
    </row>
    <row r="4" spans="1:20" s="491" customFormat="1" ht="16.5" thickBot="1">
      <c r="A4" s="1340" t="s">
        <v>1293</v>
      </c>
      <c r="B4" s="1341"/>
      <c r="C4" s="1341"/>
      <c r="D4" s="1341"/>
      <c r="E4" s="498">
        <v>2022</v>
      </c>
      <c r="F4" s="498"/>
      <c r="G4" s="498"/>
      <c r="H4" s="498"/>
      <c r="I4" s="498"/>
      <c r="J4" s="498"/>
      <c r="K4" s="498"/>
      <c r="L4" s="499"/>
      <c r="M4" s="499"/>
      <c r="N4" s="499"/>
      <c r="O4" s="499"/>
      <c r="P4" s="500"/>
      <c r="Q4" s="389"/>
      <c r="R4" s="389"/>
    </row>
    <row r="5" spans="1:20" s="235" customFormat="1" ht="16.5" customHeight="1" thickBot="1">
      <c r="A5" s="1337" t="s">
        <v>449</v>
      </c>
      <c r="B5" s="1338"/>
      <c r="C5" s="1338"/>
      <c r="D5" s="1338"/>
      <c r="E5" s="1338"/>
      <c r="F5" s="1338"/>
      <c r="G5" s="1338"/>
      <c r="H5" s="1338"/>
      <c r="I5" s="1338"/>
      <c r="J5" s="1338"/>
      <c r="K5" s="1338"/>
      <c r="L5" s="1338"/>
      <c r="M5" s="1338"/>
      <c r="N5" s="1338"/>
      <c r="O5" s="1338"/>
      <c r="P5" s="1339"/>
    </row>
    <row r="6" spans="1:20">
      <c r="B6" s="2" t="s">
        <v>1</v>
      </c>
      <c r="C6" s="75"/>
      <c r="D6" s="6"/>
      <c r="E6" s="73"/>
      <c r="F6" s="6" t="s">
        <v>128</v>
      </c>
      <c r="G6" s="6"/>
      <c r="H6" s="6"/>
      <c r="I6" s="6"/>
      <c r="J6" s="6"/>
      <c r="K6" s="6"/>
    </row>
    <row r="7" spans="1:20" ht="15.75" thickBot="1">
      <c r="B7" s="74"/>
      <c r="C7" s="76"/>
      <c r="D7" s="6"/>
      <c r="E7" s="18"/>
      <c r="F7" s="6" t="s">
        <v>129</v>
      </c>
      <c r="G7" s="6"/>
      <c r="H7" s="6"/>
      <c r="I7" s="6"/>
      <c r="J7" s="6"/>
      <c r="K7" s="6"/>
    </row>
    <row r="8" spans="1:20" ht="15.75" thickBot="1">
      <c r="B8" s="170" t="s">
        <v>1181</v>
      </c>
      <c r="C8" s="213">
        <v>2022</v>
      </c>
      <c r="D8" s="218">
        <f>IF(E10="NO APLICA","NO APLICA",IF(E11="NO SE REPORTA","SIN INFORMACION",+G20))</f>
        <v>1</v>
      </c>
      <c r="E8" s="214"/>
      <c r="F8" s="6" t="s">
        <v>130</v>
      </c>
      <c r="G8" s="6"/>
      <c r="H8" s="6"/>
      <c r="I8" s="6"/>
      <c r="J8" s="6"/>
      <c r="K8" s="6"/>
    </row>
    <row r="9" spans="1:20">
      <c r="B9" s="462" t="s">
        <v>1182</v>
      </c>
      <c r="D9" s="6"/>
      <c r="E9" s="6"/>
      <c r="F9" s="6"/>
      <c r="G9" s="6"/>
      <c r="H9" s="6"/>
      <c r="I9" s="6"/>
      <c r="J9" s="6"/>
      <c r="K9" s="6"/>
    </row>
    <row r="10" spans="1:20" s="389" customFormat="1">
      <c r="A10" s="235"/>
      <c r="B10" s="1392" t="s">
        <v>1236</v>
      </c>
      <c r="C10" s="1392"/>
      <c r="D10" s="1392"/>
      <c r="E10" s="468" t="s">
        <v>1233</v>
      </c>
      <c r="F10" s="1412" t="str">
        <f>'10Paramos'!F10</f>
        <v>Acuerdo 005 del 22 de mayo de 2020 (Por medio del cual se aprueba el Plan de Accion Institucional 2020 -2023)</v>
      </c>
      <c r="G10" s="1412"/>
      <c r="H10" s="1412"/>
      <c r="I10" s="1412"/>
      <c r="J10" s="1412"/>
      <c r="K10" s="1412"/>
      <c r="L10" s="1412"/>
      <c r="M10" s="1412"/>
      <c r="N10" s="1412"/>
      <c r="O10" s="1412"/>
      <c r="P10" s="1412"/>
      <c r="Q10" s="1412"/>
      <c r="R10" s="1412"/>
      <c r="S10" s="464"/>
      <c r="T10" s="464"/>
    </row>
    <row r="11" spans="1:20" s="389" customFormat="1" ht="14.45" customHeight="1">
      <c r="A11" s="235"/>
      <c r="B11" s="465"/>
      <c r="C11" s="466"/>
      <c r="D11" s="467" t="str">
        <f>IF(E10="SI APLICA","¿El indicador no se reporta por limitaciones de información disponible? ","")</f>
        <v xml:space="preserve">¿El indicador no se reporta por limitaciones de información disponible? </v>
      </c>
      <c r="E11" s="469" t="s">
        <v>1235</v>
      </c>
      <c r="F11" s="1412"/>
      <c r="G11" s="1412"/>
      <c r="H11" s="1412"/>
      <c r="I11" s="1412"/>
      <c r="J11" s="1412"/>
      <c r="K11" s="1412"/>
      <c r="L11" s="1412"/>
      <c r="M11" s="1412"/>
      <c r="N11" s="1412"/>
      <c r="O11" s="1412"/>
      <c r="P11" s="1412"/>
      <c r="Q11" s="1412"/>
      <c r="R11" s="1412"/>
    </row>
    <row r="12" spans="1:20" s="389" customFormat="1" ht="67.5" customHeight="1">
      <c r="A12" s="235"/>
      <c r="B12" s="462"/>
      <c r="C12" s="292"/>
      <c r="D12" s="467" t="str">
        <f>IF(E11="SI SE REPORTA","¿Qué programas o proyectos del Plan de Acción están asociados al indicador? ","")</f>
        <v xml:space="preserve">¿Qué programas o proyectos del Plan de Acción están asociados al indicador? </v>
      </c>
      <c r="E12" s="1430" t="s">
        <v>2170</v>
      </c>
      <c r="F12" s="1430"/>
      <c r="G12" s="1430"/>
      <c r="H12" s="1430"/>
      <c r="I12" s="1430"/>
      <c r="J12" s="1430"/>
      <c r="K12" s="1430"/>
      <c r="L12" s="1430"/>
      <c r="M12" s="1430"/>
      <c r="N12" s="1430"/>
      <c r="O12" s="1430"/>
      <c r="P12" s="1430"/>
      <c r="Q12" s="1430"/>
      <c r="R12" s="1430"/>
    </row>
    <row r="13" spans="1:20" s="389" customFormat="1" ht="21.95" customHeight="1">
      <c r="A13" s="235"/>
      <c r="B13" s="462"/>
      <c r="C13" s="292"/>
      <c r="D13" s="467" t="s">
        <v>1238</v>
      </c>
      <c r="E13" s="1395"/>
      <c r="F13" s="1396"/>
      <c r="G13" s="1396"/>
      <c r="H13" s="1396"/>
      <c r="I13" s="1396"/>
      <c r="J13" s="1396"/>
      <c r="K13" s="1396"/>
      <c r="L13" s="1396"/>
      <c r="M13" s="1396"/>
      <c r="N13" s="1396"/>
      <c r="O13" s="1396"/>
      <c r="P13" s="1396"/>
      <c r="Q13" s="1396"/>
      <c r="R13" s="1397"/>
    </row>
    <row r="14" spans="1:20" s="389" customFormat="1" ht="6.95" customHeight="1" thickBot="1">
      <c r="B14" s="462"/>
      <c r="C14" s="86"/>
      <c r="D14" s="6"/>
      <c r="E14" s="6"/>
      <c r="F14" s="6"/>
      <c r="G14" s="6"/>
      <c r="H14" s="6"/>
      <c r="I14" s="6"/>
      <c r="J14" s="6"/>
      <c r="K14" s="6"/>
    </row>
    <row r="15" spans="1:20" ht="15.6" customHeight="1" thickTop="1" thickBot="1">
      <c r="B15" s="1502" t="s">
        <v>2</v>
      </c>
      <c r="C15" s="88"/>
      <c r="D15" s="1458" t="s">
        <v>336</v>
      </c>
      <c r="E15" s="1459"/>
      <c r="F15" s="1459"/>
      <c r="G15" s="1459"/>
      <c r="H15" s="1459"/>
      <c r="I15" s="1459"/>
      <c r="J15" s="1459"/>
      <c r="K15" s="1459"/>
      <c r="L15" s="1514"/>
    </row>
    <row r="16" spans="1:20" ht="36.75" thickBot="1">
      <c r="B16" s="1503"/>
      <c r="C16" s="93"/>
      <c r="D16" s="43" t="s">
        <v>463</v>
      </c>
      <c r="E16" s="43" t="s">
        <v>464</v>
      </c>
      <c r="F16" s="43" t="s">
        <v>465</v>
      </c>
      <c r="G16" s="43" t="s">
        <v>466</v>
      </c>
      <c r="H16" s="6"/>
      <c r="I16" s="6"/>
      <c r="J16" s="6"/>
      <c r="K16" s="6"/>
      <c r="L16" s="14"/>
    </row>
    <row r="17" spans="2:12" ht="36.75" thickBot="1">
      <c r="B17" s="1503"/>
      <c r="C17" s="93"/>
      <c r="D17" s="40" t="s">
        <v>467</v>
      </c>
      <c r="E17" s="208">
        <v>4</v>
      </c>
      <c r="F17" s="208"/>
      <c r="G17" s="147">
        <f>+E17+F17</f>
        <v>4</v>
      </c>
      <c r="H17" s="6"/>
      <c r="I17" s="6"/>
      <c r="J17" s="6"/>
      <c r="K17" s="6"/>
      <c r="L17" s="14"/>
    </row>
    <row r="18" spans="2:12" ht="24.75" thickBot="1">
      <c r="B18" s="1503"/>
      <c r="C18" s="93"/>
      <c r="D18" s="40" t="s">
        <v>468</v>
      </c>
      <c r="E18" s="208">
        <v>2</v>
      </c>
      <c r="F18" s="208"/>
      <c r="G18" s="147">
        <f>+E18+F18</f>
        <v>2</v>
      </c>
      <c r="H18" s="6"/>
      <c r="I18" s="6"/>
      <c r="J18" s="6"/>
      <c r="K18" s="6"/>
      <c r="L18" s="14"/>
    </row>
    <row r="19" spans="2:12" ht="24.75" thickBot="1">
      <c r="B19" s="1503"/>
      <c r="C19" s="93"/>
      <c r="D19" s="40" t="s">
        <v>469</v>
      </c>
      <c r="E19" s="208">
        <v>2</v>
      </c>
      <c r="F19" s="208"/>
      <c r="G19" s="147">
        <f>+E19+F19</f>
        <v>2</v>
      </c>
      <c r="H19" s="6"/>
      <c r="I19" s="6"/>
      <c r="J19" s="6"/>
      <c r="K19" s="6"/>
      <c r="L19" s="14"/>
    </row>
    <row r="20" spans="2:12" ht="24.75" thickBot="1">
      <c r="B20" s="1503"/>
      <c r="C20" s="93"/>
      <c r="D20" s="40" t="s">
        <v>449</v>
      </c>
      <c r="E20" s="189">
        <f>IFERROR(E19/E18,"N.A.")</f>
        <v>1</v>
      </c>
      <c r="F20" s="189" t="str">
        <f>IFERROR(F19/F18,"N.A.")</f>
        <v>N.A.</v>
      </c>
      <c r="G20" s="141">
        <f>IFERROR(G19/G18,0)</f>
        <v>1</v>
      </c>
      <c r="H20" s="6"/>
      <c r="I20" s="6"/>
      <c r="J20" s="6"/>
      <c r="K20" s="6"/>
      <c r="L20" s="14"/>
    </row>
    <row r="21" spans="2:12">
      <c r="B21" s="1503"/>
      <c r="C21" s="91"/>
      <c r="D21" s="1464"/>
      <c r="E21" s="1465"/>
      <c r="F21" s="1465"/>
      <c r="G21" s="1465"/>
      <c r="H21" s="1465"/>
      <c r="I21" s="1465"/>
      <c r="J21" s="1465"/>
      <c r="K21" s="1465"/>
      <c r="L21" s="1515"/>
    </row>
    <row r="22" spans="2:12">
      <c r="B22" s="1503"/>
      <c r="C22" s="91"/>
      <c r="D22" s="1461" t="s">
        <v>246</v>
      </c>
      <c r="E22" s="1462"/>
      <c r="F22" s="1462"/>
      <c r="G22" s="1462"/>
      <c r="H22" s="1462"/>
      <c r="I22" s="1462"/>
      <c r="J22" s="1462"/>
      <c r="K22" s="1462"/>
      <c r="L22" s="1516"/>
    </row>
    <row r="23" spans="2:12">
      <c r="B23" s="1503"/>
      <c r="C23" s="91"/>
      <c r="D23" s="1461" t="s">
        <v>470</v>
      </c>
      <c r="E23" s="1462"/>
      <c r="F23" s="1462"/>
      <c r="G23" s="1462"/>
      <c r="H23" s="1462"/>
      <c r="I23" s="1462"/>
      <c r="J23" s="1462"/>
      <c r="K23" s="1462"/>
      <c r="L23" s="1516"/>
    </row>
    <row r="24" spans="2:12" ht="15.75" thickBot="1">
      <c r="B24" s="1503"/>
      <c r="C24" s="91"/>
      <c r="D24" s="1499" t="s">
        <v>340</v>
      </c>
      <c r="E24" s="1500"/>
      <c r="F24" s="1500"/>
      <c r="G24" s="1500"/>
      <c r="H24" s="1500"/>
      <c r="I24" s="1500"/>
      <c r="J24" s="1500"/>
      <c r="K24" s="1500"/>
      <c r="L24" s="1517"/>
    </row>
    <row r="25" spans="2:12" ht="15.6" customHeight="1">
      <c r="B25" s="409"/>
      <c r="C25" s="1512" t="s">
        <v>19</v>
      </c>
      <c r="D25" s="1504" t="s">
        <v>270</v>
      </c>
      <c r="E25" s="1504" t="s">
        <v>471</v>
      </c>
      <c r="F25" s="1504" t="s">
        <v>382</v>
      </c>
      <c r="G25" s="1504" t="s">
        <v>472</v>
      </c>
      <c r="H25" s="1159" t="s">
        <v>473</v>
      </c>
      <c r="I25" s="1159" t="s">
        <v>475</v>
      </c>
      <c r="J25" s="1504" t="s">
        <v>274</v>
      </c>
      <c r="K25" s="1504" t="s">
        <v>275</v>
      </c>
      <c r="L25" s="1504" t="s">
        <v>55</v>
      </c>
    </row>
    <row r="26" spans="2:12" ht="51.75" customHeight="1" thickBot="1">
      <c r="B26" s="409"/>
      <c r="C26" s="1513"/>
      <c r="D26" s="1505"/>
      <c r="E26" s="1505"/>
      <c r="F26" s="1505"/>
      <c r="G26" s="1505"/>
      <c r="H26" s="1160" t="s">
        <v>474</v>
      </c>
      <c r="I26" s="1160" t="s">
        <v>476</v>
      </c>
      <c r="J26" s="1505"/>
      <c r="K26" s="1505"/>
      <c r="L26" s="1505"/>
    </row>
    <row r="27" spans="2:12" ht="61.5" thickTop="1" thickBot="1">
      <c r="B27" s="409"/>
      <c r="C27" s="90"/>
      <c r="D27" s="447" t="s">
        <v>1461</v>
      </c>
      <c r="E27" s="362" t="s">
        <v>2102</v>
      </c>
      <c r="F27" s="550" t="s">
        <v>1397</v>
      </c>
      <c r="G27" s="550" t="s">
        <v>1398</v>
      </c>
      <c r="H27" s="1243">
        <v>6465782391</v>
      </c>
      <c r="I27" s="1243">
        <v>6465782391</v>
      </c>
      <c r="J27" s="1244">
        <v>6260027950</v>
      </c>
      <c r="K27" s="1244">
        <v>2813316229.5</v>
      </c>
      <c r="L27" s="1242"/>
    </row>
    <row r="28" spans="2:12" ht="15.75" thickBot="1">
      <c r="B28" s="410"/>
      <c r="C28" s="109"/>
      <c r="D28" s="39" t="s">
        <v>151</v>
      </c>
      <c r="E28" s="27"/>
      <c r="F28" s="27"/>
      <c r="G28" s="27"/>
      <c r="H28" s="139">
        <f>SUM(H27:H27)</f>
        <v>6465782391</v>
      </c>
      <c r="I28" s="139">
        <f>SUM(I27:I27)</f>
        <v>6465782391</v>
      </c>
      <c r="J28" s="139">
        <f>SUM(J27:J27)</f>
        <v>6260027950</v>
      </c>
      <c r="K28" s="139">
        <f>SUM(K27:K27)</f>
        <v>2813316229.5</v>
      </c>
      <c r="L28" s="13"/>
    </row>
    <row r="29" spans="2:12" ht="24" customHeight="1" thickBot="1">
      <c r="B29" s="71" t="s">
        <v>34</v>
      </c>
      <c r="C29" s="107"/>
      <c r="D29" s="1453" t="s">
        <v>477</v>
      </c>
      <c r="E29" s="1454"/>
      <c r="F29" s="1454"/>
      <c r="G29" s="1454"/>
      <c r="H29" s="1454"/>
      <c r="I29" s="1454"/>
      <c r="J29" s="1454"/>
      <c r="K29" s="1454"/>
      <c r="L29" s="1518"/>
    </row>
    <row r="30" spans="2:12" ht="24" customHeight="1" thickBot="1">
      <c r="B30" s="71" t="s">
        <v>36</v>
      </c>
      <c r="C30" s="107"/>
      <c r="D30" s="1453" t="s">
        <v>346</v>
      </c>
      <c r="E30" s="1454"/>
      <c r="F30" s="1454"/>
      <c r="G30" s="1454"/>
      <c r="H30" s="1454"/>
      <c r="I30" s="1454"/>
      <c r="J30" s="1454"/>
      <c r="K30" s="1454"/>
      <c r="L30" s="1518"/>
    </row>
    <row r="31" spans="2:12" ht="15.75" thickBot="1">
      <c r="B31" s="2"/>
      <c r="C31" s="75"/>
      <c r="D31" s="6"/>
      <c r="E31" s="6"/>
      <c r="F31" s="6"/>
      <c r="G31" s="6"/>
      <c r="H31" s="6"/>
      <c r="I31" s="6"/>
      <c r="J31" s="6"/>
      <c r="K31" s="6"/>
    </row>
    <row r="32" spans="2:12" ht="24" customHeight="1" thickBot="1">
      <c r="B32" s="1450" t="s">
        <v>38</v>
      </c>
      <c r="C32" s="1451"/>
      <c r="D32" s="1451"/>
      <c r="E32" s="1452"/>
      <c r="F32" s="6"/>
      <c r="G32" s="6"/>
      <c r="H32" s="6"/>
      <c r="I32" s="6"/>
      <c r="J32" s="6"/>
      <c r="K32" s="6"/>
    </row>
    <row r="33" spans="2:11" ht="60.75" thickBot="1">
      <c r="B33" s="1447">
        <v>1</v>
      </c>
      <c r="C33" s="93"/>
      <c r="D33" s="48" t="s">
        <v>39</v>
      </c>
      <c r="E33" s="554" t="s">
        <v>1399</v>
      </c>
      <c r="F33" s="6"/>
      <c r="G33" s="6"/>
      <c r="H33" s="6"/>
      <c r="I33" s="6"/>
      <c r="J33" s="6"/>
      <c r="K33" s="6"/>
    </row>
    <row r="34" spans="2:11" ht="48.75" thickBot="1">
      <c r="B34" s="1448"/>
      <c r="C34" s="93"/>
      <c r="D34" s="40" t="s">
        <v>40</v>
      </c>
      <c r="E34" s="554" t="s">
        <v>1400</v>
      </c>
      <c r="F34" s="6"/>
      <c r="G34" s="6"/>
      <c r="H34" s="6"/>
      <c r="I34" s="6"/>
      <c r="J34" s="6"/>
      <c r="K34" s="6"/>
    </row>
    <row r="35" spans="2:11" ht="24.75" thickBot="1">
      <c r="B35" s="1448"/>
      <c r="C35" s="93"/>
      <c r="D35" s="40" t="s">
        <v>41</v>
      </c>
      <c r="E35" s="554" t="s">
        <v>1392</v>
      </c>
      <c r="F35" s="6"/>
      <c r="G35" s="6"/>
      <c r="H35" s="6"/>
      <c r="I35" s="6"/>
      <c r="J35" s="6"/>
      <c r="K35" s="6"/>
    </row>
    <row r="36" spans="2:11" ht="24.75" thickBot="1">
      <c r="B36" s="1448"/>
      <c r="C36" s="93"/>
      <c r="D36" s="40" t="s">
        <v>42</v>
      </c>
      <c r="E36" s="554" t="s">
        <v>1393</v>
      </c>
      <c r="F36" s="6"/>
      <c r="G36" s="6"/>
      <c r="H36" s="6"/>
      <c r="I36" s="6"/>
      <c r="J36" s="6"/>
      <c r="K36" s="6"/>
    </row>
    <row r="37" spans="2:11" ht="36.75" thickBot="1">
      <c r="B37" s="1448"/>
      <c r="C37" s="93"/>
      <c r="D37" s="40" t="s">
        <v>43</v>
      </c>
      <c r="E37" s="554" t="s">
        <v>1401</v>
      </c>
      <c r="F37" s="6"/>
      <c r="G37" s="6"/>
      <c r="H37" s="6"/>
      <c r="I37" s="6"/>
      <c r="J37" s="6"/>
      <c r="K37" s="6"/>
    </row>
    <row r="38" spans="2:11" ht="15.75" thickBot="1">
      <c r="B38" s="1448"/>
      <c r="C38" s="93"/>
      <c r="D38" s="40" t="s">
        <v>44</v>
      </c>
      <c r="E38" s="554">
        <v>5748960</v>
      </c>
      <c r="F38" s="6"/>
      <c r="G38" s="6"/>
      <c r="H38" s="6"/>
      <c r="I38" s="6"/>
      <c r="J38" s="6"/>
      <c r="K38" s="6"/>
    </row>
    <row r="39" spans="2:11" ht="24.75" thickBot="1">
      <c r="B39" s="1449"/>
      <c r="C39" s="3"/>
      <c r="D39" s="40" t="s">
        <v>45</v>
      </c>
      <c r="E39" s="554" t="s">
        <v>1402</v>
      </c>
      <c r="F39" s="6"/>
      <c r="G39" s="6"/>
      <c r="H39" s="6"/>
      <c r="I39" s="6"/>
      <c r="J39" s="6"/>
      <c r="K39" s="6"/>
    </row>
    <row r="40" spans="2:11" ht="15.75" thickBot="1">
      <c r="B40" s="2"/>
      <c r="C40" s="75"/>
      <c r="D40" s="6"/>
      <c r="E40" s="6"/>
      <c r="F40" s="6"/>
      <c r="G40" s="6"/>
      <c r="H40" s="6"/>
      <c r="I40" s="6"/>
      <c r="J40" s="6"/>
      <c r="K40" s="6"/>
    </row>
    <row r="41" spans="2:11" ht="15.75" thickBot="1">
      <c r="B41" s="1450" t="s">
        <v>46</v>
      </c>
      <c r="C41" s="1451"/>
      <c r="D41" s="1451"/>
      <c r="E41" s="1519"/>
      <c r="F41" s="6"/>
      <c r="G41" s="6"/>
      <c r="H41" s="6"/>
      <c r="I41" s="6"/>
      <c r="J41" s="6"/>
      <c r="K41" s="6"/>
    </row>
    <row r="42" spans="2:11" ht="60.75" thickBot="1">
      <c r="B42" s="1447">
        <v>1</v>
      </c>
      <c r="C42" s="93"/>
      <c r="D42" s="1238" t="s">
        <v>39</v>
      </c>
      <c r="E42" s="1151" t="s">
        <v>47</v>
      </c>
      <c r="F42" s="6"/>
      <c r="G42" s="6"/>
      <c r="H42" s="6"/>
      <c r="I42" s="6"/>
      <c r="J42" s="6"/>
      <c r="K42" s="6"/>
    </row>
    <row r="43" spans="2:11" ht="84.75" thickBot="1">
      <c r="B43" s="1448"/>
      <c r="C43" s="93"/>
      <c r="D43" s="1240" t="s">
        <v>40</v>
      </c>
      <c r="E43" s="1151" t="s">
        <v>48</v>
      </c>
      <c r="F43" s="6"/>
      <c r="G43" s="6"/>
      <c r="H43" s="6"/>
      <c r="I43" s="6"/>
      <c r="J43" s="6"/>
      <c r="K43" s="6"/>
    </row>
    <row r="44" spans="2:11" ht="15.75" thickBot="1">
      <c r="B44" s="1448"/>
      <c r="C44" s="93"/>
      <c r="D44" s="40" t="s">
        <v>41</v>
      </c>
      <c r="E44" s="291"/>
      <c r="F44" s="6"/>
      <c r="G44" s="6"/>
      <c r="H44" s="6"/>
      <c r="I44" s="6"/>
      <c r="J44" s="6"/>
      <c r="K44" s="6"/>
    </row>
    <row r="45" spans="2:11" ht="15.75" thickBot="1">
      <c r="B45" s="1448"/>
      <c r="C45" s="93"/>
      <c r="D45" s="40" t="s">
        <v>42</v>
      </c>
      <c r="E45" s="291"/>
      <c r="F45" s="6"/>
      <c r="G45" s="6"/>
      <c r="H45" s="6"/>
      <c r="I45" s="6"/>
      <c r="J45" s="6"/>
      <c r="K45" s="6"/>
    </row>
    <row r="46" spans="2:11" ht="15.75" thickBot="1">
      <c r="B46" s="1448"/>
      <c r="C46" s="93"/>
      <c r="D46" s="40" t="s">
        <v>43</v>
      </c>
      <c r="E46" s="291"/>
      <c r="F46" s="6"/>
      <c r="G46" s="6"/>
      <c r="H46" s="6"/>
      <c r="I46" s="6"/>
      <c r="J46" s="6"/>
      <c r="K46" s="6"/>
    </row>
    <row r="47" spans="2:11" ht="15.75" thickBot="1">
      <c r="B47" s="1448"/>
      <c r="C47" s="93"/>
      <c r="D47" s="40" t="s">
        <v>44</v>
      </c>
      <c r="E47" s="291"/>
      <c r="F47" s="6"/>
      <c r="G47" s="6"/>
      <c r="H47" s="6"/>
      <c r="I47" s="6"/>
      <c r="J47" s="6"/>
      <c r="K47" s="6"/>
    </row>
    <row r="48" spans="2:11" ht="15.75" thickBot="1">
      <c r="B48" s="1449"/>
      <c r="C48" s="3"/>
      <c r="D48" s="40" t="s">
        <v>45</v>
      </c>
      <c r="E48" s="291"/>
      <c r="F48" s="6"/>
      <c r="G48" s="6"/>
      <c r="H48" s="6"/>
      <c r="I48" s="6"/>
      <c r="J48" s="6"/>
      <c r="K48" s="6"/>
    </row>
    <row r="49" spans="2:11" ht="15.75" thickBot="1">
      <c r="B49" s="2"/>
      <c r="C49" s="75"/>
      <c r="D49" s="6"/>
      <c r="E49" s="590"/>
      <c r="F49" s="6"/>
      <c r="G49" s="6"/>
      <c r="H49" s="6"/>
      <c r="I49" s="6"/>
      <c r="J49" s="6"/>
      <c r="K49" s="6"/>
    </row>
    <row r="50" spans="2:11" ht="15" customHeight="1" thickBot="1">
      <c r="B50" s="123" t="s">
        <v>49</v>
      </c>
      <c r="C50" s="124"/>
      <c r="D50" s="124"/>
      <c r="E50" s="125"/>
      <c r="F50" s="6"/>
      <c r="G50" s="6"/>
      <c r="H50" s="6"/>
      <c r="I50" s="6"/>
      <c r="J50" s="6"/>
      <c r="K50" s="6"/>
    </row>
    <row r="51" spans="2:11" ht="24.75" thickBot="1">
      <c r="B51" s="47" t="s">
        <v>50</v>
      </c>
      <c r="C51" s="40" t="s">
        <v>51</v>
      </c>
      <c r="D51" s="40" t="s">
        <v>52</v>
      </c>
      <c r="E51" s="40" t="s">
        <v>53</v>
      </c>
      <c r="F51" s="6"/>
      <c r="G51" s="6"/>
      <c r="H51" s="6"/>
      <c r="I51" s="6"/>
      <c r="J51" s="6"/>
    </row>
    <row r="52" spans="2:11" ht="72.75" thickBot="1">
      <c r="B52" s="49">
        <v>42401</v>
      </c>
      <c r="C52" s="40">
        <v>0.01</v>
      </c>
      <c r="D52" s="50" t="s">
        <v>478</v>
      </c>
      <c r="E52" s="40"/>
      <c r="F52" s="6"/>
      <c r="G52" s="6"/>
      <c r="H52" s="6"/>
      <c r="I52" s="6"/>
      <c r="J52" s="6"/>
    </row>
    <row r="53" spans="2:11" ht="15.75" thickBot="1">
      <c r="B53" s="2"/>
      <c r="C53" s="75"/>
      <c r="D53" s="6"/>
      <c r="E53" s="6"/>
      <c r="F53" s="6"/>
      <c r="G53" s="6"/>
      <c r="H53" s="6"/>
      <c r="I53" s="6"/>
      <c r="J53" s="6"/>
      <c r="K53" s="6"/>
    </row>
    <row r="54" spans="2:11">
      <c r="B54" s="134" t="s">
        <v>55</v>
      </c>
      <c r="C54" s="95"/>
      <c r="D54" s="6"/>
      <c r="E54" s="6"/>
      <c r="F54" s="6"/>
      <c r="G54" s="6"/>
      <c r="H54" s="6"/>
      <c r="I54" s="6"/>
      <c r="J54" s="6"/>
      <c r="K54" s="6"/>
    </row>
    <row r="55" spans="2:11" ht="14.45" customHeight="1">
      <c r="B55" s="1506" t="s">
        <v>479</v>
      </c>
      <c r="C55" s="1507"/>
      <c r="D55" s="1507"/>
      <c r="E55" s="1507"/>
      <c r="F55" s="1507"/>
      <c r="G55" s="1508"/>
      <c r="H55" s="6"/>
      <c r="I55" s="6"/>
      <c r="J55" s="6"/>
      <c r="K55" s="6"/>
    </row>
    <row r="56" spans="2:11">
      <c r="B56" s="1509"/>
      <c r="C56" s="1510"/>
      <c r="D56" s="1510"/>
      <c r="E56" s="1510"/>
      <c r="F56" s="1510"/>
      <c r="G56" s="1511"/>
      <c r="H56" s="6"/>
      <c r="I56" s="6"/>
      <c r="J56" s="6"/>
      <c r="K56" s="6"/>
    </row>
    <row r="57" spans="2:11">
      <c r="B57" s="164"/>
      <c r="C57" s="165"/>
      <c r="D57" s="165"/>
      <c r="E57" s="165"/>
      <c r="F57" s="165"/>
      <c r="G57" s="166"/>
      <c r="H57" s="6"/>
      <c r="I57" s="6"/>
      <c r="J57" s="6"/>
      <c r="K57" s="6"/>
    </row>
    <row r="58" spans="2:11" ht="15.75" thickBot="1">
      <c r="B58" s="6"/>
      <c r="D58" s="6"/>
      <c r="E58" s="6"/>
      <c r="F58" s="6"/>
      <c r="G58" s="6"/>
      <c r="H58" s="6"/>
      <c r="I58" s="6"/>
      <c r="J58" s="6"/>
      <c r="K58" s="6"/>
    </row>
    <row r="59" spans="2:11" ht="15.75" thickBot="1">
      <c r="B59" s="1450" t="s">
        <v>450</v>
      </c>
      <c r="C59" s="1451"/>
      <c r="D59" s="1452"/>
      <c r="E59" s="6"/>
      <c r="F59" s="6"/>
      <c r="G59" s="6"/>
      <c r="H59" s="6"/>
      <c r="I59" s="6"/>
      <c r="J59" s="6"/>
      <c r="K59" s="6"/>
    </row>
    <row r="60" spans="2:11" ht="108.75" thickBot="1">
      <c r="B60" s="47" t="s">
        <v>57</v>
      </c>
      <c r="C60" s="3"/>
      <c r="D60" s="40" t="s">
        <v>451</v>
      </c>
      <c r="E60" s="6"/>
      <c r="F60" s="6"/>
      <c r="G60" s="6"/>
      <c r="H60" s="6"/>
      <c r="I60" s="6"/>
      <c r="J60" s="6"/>
      <c r="K60" s="6"/>
    </row>
    <row r="61" spans="2:11">
      <c r="B61" s="1447" t="s">
        <v>59</v>
      </c>
      <c r="C61" s="93"/>
      <c r="D61" s="53" t="s">
        <v>60</v>
      </c>
      <c r="E61" s="6"/>
      <c r="F61" s="6"/>
      <c r="G61" s="6"/>
      <c r="H61" s="6"/>
      <c r="I61" s="6"/>
      <c r="J61" s="6"/>
      <c r="K61" s="6"/>
    </row>
    <row r="62" spans="2:11" ht="120">
      <c r="B62" s="1448"/>
      <c r="C62" s="93"/>
      <c r="D62" s="46" t="s">
        <v>452</v>
      </c>
      <c r="E62" s="6"/>
      <c r="F62" s="6"/>
      <c r="G62" s="6"/>
      <c r="H62" s="6"/>
      <c r="I62" s="6"/>
      <c r="J62" s="6"/>
      <c r="K62" s="6"/>
    </row>
    <row r="63" spans="2:11">
      <c r="B63" s="1448"/>
      <c r="C63" s="93"/>
      <c r="D63" s="53" t="s">
        <v>63</v>
      </c>
      <c r="E63" s="6"/>
      <c r="F63" s="6"/>
      <c r="G63" s="6"/>
      <c r="H63" s="6"/>
      <c r="I63" s="6"/>
      <c r="J63" s="6"/>
      <c r="K63" s="6"/>
    </row>
    <row r="64" spans="2:11">
      <c r="B64" s="1448"/>
      <c r="C64" s="93"/>
      <c r="D64" s="46" t="s">
        <v>65</v>
      </c>
      <c r="E64" s="6"/>
      <c r="F64" s="6"/>
      <c r="G64" s="6"/>
      <c r="H64" s="6"/>
      <c r="I64" s="6"/>
      <c r="J64" s="6"/>
      <c r="K64" s="6"/>
    </row>
    <row r="65" spans="2:11">
      <c r="B65" s="1448"/>
      <c r="C65" s="93"/>
      <c r="D65" s="53" t="s">
        <v>288</v>
      </c>
      <c r="E65" s="6"/>
      <c r="F65" s="6"/>
      <c r="G65" s="6"/>
      <c r="H65" s="6"/>
      <c r="I65" s="6"/>
      <c r="J65" s="6"/>
      <c r="K65" s="6"/>
    </row>
    <row r="66" spans="2:11" ht="36.75" thickBot="1">
      <c r="B66" s="1449"/>
      <c r="C66" s="3"/>
      <c r="D66" s="40" t="s">
        <v>453</v>
      </c>
      <c r="E66" s="6"/>
      <c r="F66" s="6"/>
      <c r="G66" s="6"/>
      <c r="H66" s="6"/>
      <c r="I66" s="6"/>
      <c r="J66" s="6"/>
      <c r="K66" s="6"/>
    </row>
    <row r="67" spans="2:11">
      <c r="B67" s="1447" t="s">
        <v>72</v>
      </c>
      <c r="C67" s="98"/>
      <c r="D67" s="1447"/>
      <c r="E67" s="6"/>
      <c r="F67" s="6"/>
      <c r="G67" s="6"/>
      <c r="H67" s="6"/>
      <c r="I67" s="6"/>
      <c r="J67" s="6"/>
      <c r="K67" s="6"/>
    </row>
    <row r="68" spans="2:11" ht="15.75" thickBot="1">
      <c r="B68" s="1449"/>
      <c r="C68" s="99"/>
      <c r="D68" s="1449"/>
      <c r="E68" s="6"/>
      <c r="F68" s="6"/>
      <c r="G68" s="6"/>
      <c r="H68" s="6"/>
      <c r="I68" s="6"/>
      <c r="J68" s="6"/>
      <c r="K68" s="6"/>
    </row>
    <row r="69" spans="2:11" ht="108">
      <c r="B69" s="1447" t="s">
        <v>73</v>
      </c>
      <c r="C69" s="93"/>
      <c r="D69" s="46" t="s">
        <v>356</v>
      </c>
      <c r="E69" s="6"/>
      <c r="F69" s="6"/>
      <c r="G69" s="6"/>
      <c r="H69" s="6"/>
      <c r="I69" s="6"/>
      <c r="J69" s="6"/>
      <c r="K69" s="6"/>
    </row>
    <row r="70" spans="2:11" ht="144">
      <c r="B70" s="1448"/>
      <c r="C70" s="93"/>
      <c r="D70" s="46" t="s">
        <v>357</v>
      </c>
      <c r="E70" s="6"/>
      <c r="F70" s="6"/>
      <c r="G70" s="6"/>
      <c r="H70" s="6"/>
      <c r="I70" s="6"/>
      <c r="J70" s="6"/>
      <c r="K70" s="6"/>
    </row>
    <row r="71" spans="2:11" ht="72">
      <c r="B71" s="1448"/>
      <c r="C71" s="93"/>
      <c r="D71" s="46" t="s">
        <v>359</v>
      </c>
      <c r="E71" s="6"/>
      <c r="F71" s="6"/>
      <c r="G71" s="6"/>
      <c r="H71" s="6"/>
      <c r="I71" s="6"/>
      <c r="J71" s="6"/>
      <c r="K71" s="6"/>
    </row>
    <row r="72" spans="2:11" ht="36">
      <c r="B72" s="1448"/>
      <c r="C72" s="93"/>
      <c r="D72" s="46" t="s">
        <v>454</v>
      </c>
      <c r="E72" s="6"/>
      <c r="F72" s="6"/>
      <c r="G72" s="6"/>
      <c r="H72" s="6"/>
      <c r="I72" s="6"/>
      <c r="J72" s="6"/>
      <c r="K72" s="6"/>
    </row>
    <row r="73" spans="2:11" ht="192.75" thickBot="1">
      <c r="B73" s="1449"/>
      <c r="C73" s="3"/>
      <c r="D73" s="40" t="s">
        <v>455</v>
      </c>
      <c r="E73" s="6"/>
      <c r="F73" s="6"/>
      <c r="G73" s="6"/>
      <c r="H73" s="6"/>
      <c r="I73" s="6"/>
      <c r="J73" s="6"/>
      <c r="K73" s="6"/>
    </row>
    <row r="74" spans="2:11" ht="24">
      <c r="B74" s="1447" t="s">
        <v>90</v>
      </c>
      <c r="C74" s="93"/>
      <c r="D74" s="53" t="s">
        <v>456</v>
      </c>
      <c r="E74" s="6"/>
      <c r="F74" s="6"/>
      <c r="G74" s="6"/>
      <c r="H74" s="6"/>
      <c r="I74" s="6"/>
      <c r="J74" s="6"/>
      <c r="K74" s="6"/>
    </row>
    <row r="75" spans="2:11">
      <c r="B75" s="1448"/>
      <c r="C75" s="93"/>
      <c r="D75" s="17"/>
      <c r="E75" s="6"/>
      <c r="F75" s="6"/>
      <c r="G75" s="6"/>
      <c r="H75" s="6"/>
      <c r="I75" s="6"/>
      <c r="J75" s="6"/>
      <c r="K75" s="6"/>
    </row>
    <row r="76" spans="2:11">
      <c r="B76" s="1448"/>
      <c r="C76" s="93"/>
      <c r="D76" s="46" t="s">
        <v>91</v>
      </c>
      <c r="E76" s="6"/>
      <c r="F76" s="6"/>
      <c r="G76" s="6"/>
      <c r="H76" s="6"/>
      <c r="I76" s="6"/>
      <c r="J76" s="6"/>
      <c r="K76" s="6"/>
    </row>
    <row r="77" spans="2:11" ht="37.5">
      <c r="B77" s="1448"/>
      <c r="C77" s="93"/>
      <c r="D77" s="46" t="s">
        <v>457</v>
      </c>
      <c r="E77" s="6"/>
      <c r="F77" s="6"/>
      <c r="G77" s="6"/>
      <c r="H77" s="6"/>
      <c r="I77" s="6"/>
      <c r="J77" s="6"/>
      <c r="K77" s="6"/>
    </row>
    <row r="78" spans="2:11" ht="37.5">
      <c r="B78" s="1448"/>
      <c r="C78" s="93"/>
      <c r="D78" s="46" t="s">
        <v>458</v>
      </c>
      <c r="E78" s="6"/>
      <c r="F78" s="6"/>
      <c r="G78" s="6"/>
      <c r="H78" s="6"/>
      <c r="I78" s="6"/>
      <c r="J78" s="6"/>
      <c r="K78" s="6"/>
    </row>
    <row r="79" spans="2:11" ht="49.5">
      <c r="B79" s="1448"/>
      <c r="C79" s="93"/>
      <c r="D79" s="46" t="s">
        <v>459</v>
      </c>
      <c r="E79" s="6"/>
      <c r="F79" s="6"/>
      <c r="G79" s="6"/>
      <c r="H79" s="6"/>
      <c r="I79" s="6"/>
      <c r="J79" s="6"/>
      <c r="K79" s="6"/>
    </row>
    <row r="80" spans="2:11">
      <c r="B80" s="1448"/>
      <c r="C80" s="93"/>
      <c r="D80" s="53" t="s">
        <v>246</v>
      </c>
      <c r="E80" s="6"/>
      <c r="F80" s="6"/>
      <c r="G80" s="6"/>
      <c r="H80" s="6"/>
      <c r="I80" s="6"/>
      <c r="J80" s="6"/>
      <c r="K80" s="6"/>
    </row>
    <row r="81" spans="2:11" ht="24">
      <c r="B81" s="1448"/>
      <c r="C81" s="93"/>
      <c r="D81" s="53" t="s">
        <v>460</v>
      </c>
      <c r="E81" s="6"/>
      <c r="F81" s="6"/>
      <c r="G81" s="6"/>
      <c r="H81" s="6"/>
      <c r="I81" s="6"/>
      <c r="J81" s="6"/>
      <c r="K81" s="6"/>
    </row>
    <row r="82" spans="2:11">
      <c r="B82" s="1448"/>
      <c r="C82" s="93"/>
      <c r="D82" s="17"/>
      <c r="E82" s="6"/>
      <c r="F82" s="6"/>
      <c r="G82" s="6"/>
      <c r="H82" s="6"/>
      <c r="I82" s="6"/>
      <c r="J82" s="6"/>
      <c r="K82" s="6"/>
    </row>
    <row r="83" spans="2:11">
      <c r="B83" s="1448"/>
      <c r="C83" s="93"/>
      <c r="D83" s="46" t="s">
        <v>91</v>
      </c>
      <c r="E83" s="6"/>
      <c r="F83" s="6"/>
      <c r="G83" s="6"/>
      <c r="H83" s="6"/>
      <c r="I83" s="6"/>
      <c r="J83" s="6"/>
      <c r="K83" s="6"/>
    </row>
    <row r="84" spans="2:11" ht="61.5">
      <c r="B84" s="1448"/>
      <c r="C84" s="93"/>
      <c r="D84" s="46" t="s">
        <v>461</v>
      </c>
      <c r="E84" s="6"/>
      <c r="F84" s="6"/>
      <c r="G84" s="6"/>
      <c r="H84" s="6"/>
      <c r="I84" s="6"/>
      <c r="J84" s="6"/>
      <c r="K84" s="6"/>
    </row>
    <row r="85" spans="2:11" ht="38.25" thickBot="1">
      <c r="B85" s="1449"/>
      <c r="C85" s="3"/>
      <c r="D85" s="40" t="s">
        <v>462</v>
      </c>
      <c r="E85" s="6"/>
      <c r="F85" s="6"/>
      <c r="G85" s="6"/>
      <c r="H85" s="6"/>
      <c r="I85" s="6"/>
      <c r="J85" s="6"/>
      <c r="K85" s="6"/>
    </row>
    <row r="86" spans="2:11">
      <c r="B86" s="6"/>
      <c r="D86" s="6"/>
      <c r="E86" s="6"/>
      <c r="F86" s="6"/>
      <c r="G86" s="6"/>
      <c r="H86" s="6"/>
      <c r="I86" s="6"/>
      <c r="J86" s="6"/>
      <c r="K86" s="6"/>
    </row>
    <row r="87" spans="2:11">
      <c r="B87" s="6"/>
      <c r="D87" s="6"/>
      <c r="E87" s="6"/>
      <c r="F87" s="6"/>
      <c r="G87" s="6"/>
      <c r="H87" s="6"/>
      <c r="I87" s="6"/>
      <c r="J87" s="6"/>
      <c r="K87" s="6"/>
    </row>
    <row r="88" spans="2:11">
      <c r="B88" s="6"/>
      <c r="D88" s="6"/>
      <c r="E88" s="6"/>
      <c r="F88" s="6"/>
      <c r="G88" s="6"/>
      <c r="H88" s="6"/>
      <c r="I88" s="6"/>
      <c r="J88" s="6"/>
      <c r="K88" s="6"/>
    </row>
    <row r="89" spans="2:11">
      <c r="B89" s="6"/>
      <c r="D89" s="6"/>
      <c r="E89" s="6"/>
      <c r="F89" s="6"/>
      <c r="G89" s="6"/>
      <c r="H89" s="6"/>
      <c r="I89" s="6"/>
      <c r="J89" s="6"/>
      <c r="K89" s="6"/>
    </row>
    <row r="90" spans="2:11">
      <c r="B90" s="6"/>
      <c r="D90" s="6"/>
      <c r="E90" s="6"/>
      <c r="F90" s="6"/>
      <c r="G90" s="6"/>
      <c r="H90" s="6"/>
      <c r="I90" s="6"/>
      <c r="J90" s="6"/>
      <c r="K90" s="6"/>
    </row>
    <row r="91" spans="2:11">
      <c r="B91" s="6"/>
      <c r="D91" s="6"/>
      <c r="E91" s="6"/>
      <c r="F91" s="6"/>
      <c r="G91" s="6"/>
      <c r="H91" s="6"/>
      <c r="I91" s="6"/>
      <c r="J91" s="6"/>
      <c r="K91" s="6"/>
    </row>
    <row r="92" spans="2:11">
      <c r="B92" s="6"/>
      <c r="D92" s="6"/>
      <c r="E92" s="6"/>
      <c r="F92" s="6"/>
      <c r="G92" s="6"/>
      <c r="H92" s="6"/>
      <c r="I92" s="6"/>
      <c r="J92" s="6"/>
      <c r="K92" s="6"/>
    </row>
    <row r="93" spans="2:11">
      <c r="B93" s="6"/>
      <c r="D93" s="6"/>
      <c r="E93" s="6"/>
      <c r="F93" s="6"/>
      <c r="G93" s="6"/>
      <c r="H93" s="6"/>
      <c r="I93" s="6"/>
      <c r="J93" s="6"/>
      <c r="K93" s="6"/>
    </row>
    <row r="94" spans="2:11">
      <c r="B94" s="6"/>
      <c r="D94" s="6"/>
      <c r="E94" s="6"/>
      <c r="F94" s="6"/>
      <c r="G94" s="6"/>
      <c r="H94" s="6"/>
      <c r="I94" s="6"/>
      <c r="J94" s="6"/>
      <c r="K94" s="6"/>
    </row>
    <row r="95" spans="2:11">
      <c r="B95" s="6"/>
      <c r="D95" s="6"/>
      <c r="E95" s="6"/>
      <c r="F95" s="6"/>
      <c r="G95" s="6"/>
      <c r="H95" s="6"/>
      <c r="I95" s="6"/>
      <c r="J95" s="6"/>
      <c r="K95" s="6"/>
    </row>
    <row r="96" spans="2:11">
      <c r="B96" s="6"/>
      <c r="D96" s="6"/>
      <c r="E96" s="6"/>
      <c r="F96" s="6"/>
      <c r="G96" s="6"/>
      <c r="H96" s="6"/>
      <c r="I96" s="6"/>
      <c r="J96" s="6"/>
      <c r="K96" s="6"/>
    </row>
    <row r="97" spans="2:11">
      <c r="B97" s="6"/>
      <c r="D97" s="6"/>
      <c r="E97" s="6"/>
      <c r="F97" s="6"/>
      <c r="G97" s="6"/>
      <c r="H97" s="6"/>
      <c r="I97" s="6"/>
      <c r="J97" s="6"/>
      <c r="K97" s="6"/>
    </row>
    <row r="98" spans="2:11">
      <c r="B98" s="6"/>
      <c r="D98" s="6"/>
      <c r="E98" s="6"/>
      <c r="F98" s="6"/>
      <c r="G98" s="6"/>
      <c r="H98" s="6"/>
      <c r="I98" s="6"/>
      <c r="J98" s="6"/>
      <c r="K98" s="6"/>
    </row>
    <row r="99" spans="2:11">
      <c r="B99" s="6"/>
      <c r="D99" s="6"/>
      <c r="E99" s="6"/>
      <c r="F99" s="6"/>
      <c r="G99" s="6"/>
      <c r="H99" s="6"/>
      <c r="I99" s="6"/>
      <c r="J99" s="6"/>
      <c r="K99" s="6"/>
    </row>
    <row r="100" spans="2:11">
      <c r="B100" s="6"/>
      <c r="D100" s="6"/>
      <c r="E100" s="6"/>
      <c r="F100" s="6"/>
      <c r="G100" s="6"/>
      <c r="H100" s="6"/>
      <c r="I100" s="6"/>
      <c r="J100" s="6"/>
      <c r="K100" s="6"/>
    </row>
    <row r="101" spans="2:11">
      <c r="B101" s="6"/>
      <c r="D101" s="6"/>
      <c r="E101" s="6"/>
      <c r="F101" s="6"/>
      <c r="G101" s="6"/>
      <c r="H101" s="6"/>
      <c r="I101" s="6"/>
      <c r="J101" s="6"/>
      <c r="K101" s="6"/>
    </row>
    <row r="102" spans="2:11">
      <c r="B102" s="6"/>
      <c r="D102" s="6"/>
      <c r="E102" s="6"/>
      <c r="F102" s="6"/>
      <c r="G102" s="6"/>
      <c r="H102" s="6"/>
      <c r="I102" s="6"/>
      <c r="J102" s="6"/>
      <c r="K102" s="6"/>
    </row>
    <row r="103" spans="2:11">
      <c r="B103" s="6"/>
      <c r="D103" s="6"/>
      <c r="E103" s="6"/>
      <c r="F103" s="6"/>
      <c r="G103" s="6"/>
      <c r="H103" s="6"/>
      <c r="I103" s="6"/>
      <c r="J103" s="6"/>
      <c r="K103" s="6"/>
    </row>
    <row r="104" spans="2:11">
      <c r="B104" s="6"/>
      <c r="D104" s="6"/>
      <c r="E104" s="6"/>
      <c r="F104" s="6"/>
      <c r="G104" s="6"/>
      <c r="H104" s="6"/>
      <c r="I104" s="6"/>
      <c r="J104" s="6"/>
      <c r="K104" s="6"/>
    </row>
    <row r="105" spans="2:11">
      <c r="B105" s="6"/>
      <c r="D105" s="6"/>
      <c r="E105" s="6"/>
      <c r="F105" s="6"/>
      <c r="G105" s="6"/>
      <c r="H105" s="6"/>
      <c r="I105" s="6"/>
      <c r="J105" s="6"/>
      <c r="K105" s="6"/>
    </row>
    <row r="106" spans="2:11">
      <c r="B106" s="6"/>
      <c r="D106" s="6"/>
      <c r="E106" s="6"/>
      <c r="F106" s="6"/>
      <c r="G106" s="6"/>
      <c r="H106" s="6"/>
      <c r="I106" s="6"/>
      <c r="J106" s="6"/>
      <c r="K106" s="6"/>
    </row>
    <row r="107" spans="2:11">
      <c r="B107" s="6"/>
      <c r="D107" s="6"/>
      <c r="E107" s="6"/>
      <c r="F107" s="6"/>
      <c r="G107" s="6"/>
      <c r="H107" s="6"/>
      <c r="I107" s="6"/>
      <c r="J107" s="6"/>
      <c r="K107" s="6"/>
    </row>
    <row r="108" spans="2:11">
      <c r="B108" s="6"/>
      <c r="D108" s="6"/>
      <c r="E108" s="6"/>
      <c r="F108" s="6"/>
      <c r="G108" s="6"/>
      <c r="H108" s="6"/>
      <c r="I108" s="6"/>
      <c r="J108" s="6"/>
      <c r="K108" s="6"/>
    </row>
    <row r="109" spans="2:11">
      <c r="B109" s="6"/>
      <c r="D109" s="6"/>
      <c r="E109" s="6"/>
      <c r="F109" s="6"/>
      <c r="G109" s="6"/>
      <c r="H109" s="6"/>
      <c r="I109" s="6"/>
      <c r="J109" s="6"/>
      <c r="K109" s="6"/>
    </row>
    <row r="110" spans="2:11">
      <c r="B110" s="6"/>
      <c r="D110" s="6"/>
      <c r="E110" s="6"/>
      <c r="F110" s="6"/>
      <c r="G110" s="6"/>
      <c r="H110" s="6"/>
      <c r="I110" s="6"/>
      <c r="J110" s="6"/>
      <c r="K110" s="6"/>
    </row>
    <row r="111" spans="2:11">
      <c r="B111" s="6"/>
      <c r="D111" s="6"/>
      <c r="E111" s="6"/>
      <c r="F111" s="6"/>
      <c r="G111" s="6"/>
      <c r="H111" s="6"/>
      <c r="I111" s="6"/>
      <c r="J111" s="6"/>
      <c r="K111" s="6"/>
    </row>
    <row r="112" spans="2:11">
      <c r="B112" s="6"/>
      <c r="D112" s="6"/>
      <c r="E112" s="6"/>
      <c r="F112" s="6"/>
      <c r="G112" s="6"/>
      <c r="H112" s="6"/>
      <c r="I112" s="6"/>
      <c r="J112" s="6"/>
      <c r="K112" s="6"/>
    </row>
    <row r="113" spans="2:11">
      <c r="B113" s="6"/>
      <c r="D113" s="6"/>
      <c r="E113" s="6"/>
      <c r="F113" s="6"/>
      <c r="G113" s="6"/>
      <c r="H113" s="6"/>
      <c r="I113" s="6"/>
      <c r="J113" s="6"/>
      <c r="K113" s="6"/>
    </row>
    <row r="114" spans="2:11">
      <c r="B114" s="6"/>
      <c r="D114" s="6"/>
      <c r="E114" s="6"/>
      <c r="F114" s="6"/>
      <c r="G114" s="6"/>
      <c r="H114" s="6"/>
      <c r="I114" s="6"/>
      <c r="J114" s="6"/>
      <c r="K114" s="6"/>
    </row>
    <row r="115" spans="2:11">
      <c r="B115" s="6"/>
      <c r="D115" s="6"/>
      <c r="E115" s="6"/>
      <c r="F115" s="6"/>
      <c r="G115" s="6"/>
      <c r="H115" s="6"/>
      <c r="I115" s="6"/>
      <c r="J115" s="6"/>
      <c r="K115" s="6"/>
    </row>
    <row r="116" spans="2:11">
      <c r="B116" s="6"/>
      <c r="D116" s="6"/>
      <c r="E116" s="6"/>
      <c r="F116" s="6"/>
      <c r="G116" s="6"/>
      <c r="H116" s="6"/>
      <c r="I116" s="6"/>
      <c r="J116" s="6"/>
      <c r="K116" s="6"/>
    </row>
    <row r="117" spans="2:11">
      <c r="B117" s="6"/>
      <c r="D117" s="6"/>
      <c r="E117" s="6"/>
      <c r="F117" s="6"/>
      <c r="G117" s="6"/>
      <c r="H117" s="6"/>
      <c r="I117" s="6"/>
      <c r="J117" s="6"/>
      <c r="K117" s="6"/>
    </row>
    <row r="118" spans="2:11">
      <c r="B118" s="6"/>
      <c r="D118" s="6"/>
      <c r="E118" s="6"/>
      <c r="F118" s="6"/>
      <c r="G118" s="6"/>
      <c r="H118" s="6"/>
      <c r="I118" s="6"/>
      <c r="J118" s="6"/>
      <c r="K118" s="6"/>
    </row>
    <row r="119" spans="2:11">
      <c r="B119" s="6"/>
      <c r="D119" s="6"/>
      <c r="E119" s="6"/>
      <c r="F119" s="6"/>
      <c r="G119" s="6"/>
      <c r="H119" s="6"/>
      <c r="I119" s="6"/>
      <c r="J119" s="6"/>
      <c r="K119" s="6"/>
    </row>
    <row r="120" spans="2:11">
      <c r="B120" s="6"/>
      <c r="D120" s="6"/>
      <c r="E120" s="6"/>
      <c r="F120" s="6"/>
      <c r="G120" s="6"/>
      <c r="H120" s="6"/>
      <c r="I120" s="6"/>
      <c r="J120" s="6"/>
      <c r="K120" s="6"/>
    </row>
    <row r="121" spans="2:11">
      <c r="B121" s="6"/>
      <c r="D121" s="6"/>
      <c r="E121" s="6"/>
      <c r="F121" s="6"/>
      <c r="G121" s="6"/>
      <c r="H121" s="6"/>
      <c r="I121" s="6"/>
      <c r="J121" s="6"/>
      <c r="K121" s="6"/>
    </row>
    <row r="122" spans="2:11">
      <c r="B122" s="6"/>
      <c r="D122" s="6"/>
      <c r="E122" s="6"/>
      <c r="F122" s="6"/>
      <c r="G122" s="6"/>
      <c r="H122" s="6"/>
      <c r="I122" s="6"/>
      <c r="J122" s="6"/>
      <c r="K122" s="6"/>
    </row>
    <row r="123" spans="2:11">
      <c r="B123" s="6"/>
      <c r="D123" s="6"/>
      <c r="E123" s="6"/>
      <c r="F123" s="6"/>
      <c r="G123" s="6"/>
      <c r="H123" s="6"/>
      <c r="I123" s="6"/>
      <c r="J123" s="6"/>
      <c r="K123" s="6"/>
    </row>
    <row r="124" spans="2:11">
      <c r="B124" s="6"/>
      <c r="D124" s="6"/>
      <c r="E124" s="6"/>
      <c r="F124" s="6"/>
      <c r="G124" s="6"/>
      <c r="H124" s="6"/>
      <c r="I124" s="6"/>
      <c r="J124" s="6"/>
      <c r="K124" s="6"/>
    </row>
    <row r="125" spans="2:11">
      <c r="B125" s="6"/>
      <c r="D125" s="6"/>
      <c r="E125" s="6"/>
      <c r="F125" s="6"/>
      <c r="G125" s="6"/>
      <c r="H125" s="6"/>
      <c r="I125" s="6"/>
      <c r="J125" s="6"/>
      <c r="K125" s="6"/>
    </row>
    <row r="126" spans="2:11">
      <c r="B126" s="6"/>
      <c r="D126" s="6"/>
      <c r="E126" s="6"/>
      <c r="F126" s="6"/>
      <c r="G126" s="6"/>
      <c r="H126" s="6"/>
      <c r="I126" s="6"/>
      <c r="J126" s="6"/>
      <c r="K126" s="6"/>
    </row>
    <row r="127" spans="2:11">
      <c r="B127" s="6"/>
      <c r="D127" s="6"/>
      <c r="E127" s="6"/>
      <c r="F127" s="6"/>
      <c r="G127" s="6"/>
      <c r="H127" s="6"/>
      <c r="I127" s="6"/>
      <c r="J127" s="6"/>
      <c r="K127" s="6"/>
    </row>
    <row r="128" spans="2:11">
      <c r="B128" s="6"/>
      <c r="D128" s="6"/>
      <c r="E128" s="6"/>
      <c r="F128" s="6"/>
      <c r="G128" s="6"/>
      <c r="H128" s="6"/>
      <c r="I128" s="6"/>
      <c r="J128" s="6"/>
      <c r="K128" s="6"/>
    </row>
    <row r="129" spans="2:11">
      <c r="B129" s="6"/>
      <c r="D129" s="6"/>
      <c r="E129" s="6"/>
      <c r="F129" s="6"/>
      <c r="G129" s="6"/>
      <c r="H129" s="6"/>
      <c r="I129" s="6"/>
      <c r="J129" s="6"/>
      <c r="K129" s="6"/>
    </row>
    <row r="130" spans="2:11">
      <c r="B130" s="6"/>
      <c r="D130" s="6"/>
      <c r="E130" s="6"/>
      <c r="F130" s="6"/>
      <c r="G130" s="6"/>
      <c r="H130" s="6"/>
      <c r="I130" s="6"/>
      <c r="J130" s="6"/>
      <c r="K130" s="6"/>
    </row>
    <row r="131" spans="2:11">
      <c r="B131" s="6"/>
      <c r="D131" s="6"/>
      <c r="E131" s="6"/>
      <c r="F131" s="6"/>
      <c r="G131" s="6"/>
      <c r="H131" s="6"/>
      <c r="I131" s="6"/>
      <c r="J131" s="6"/>
      <c r="K131" s="6"/>
    </row>
    <row r="132" spans="2:11">
      <c r="B132" s="6"/>
      <c r="D132" s="6"/>
      <c r="E132" s="6"/>
      <c r="F132" s="6"/>
      <c r="G132" s="6"/>
      <c r="H132" s="6"/>
      <c r="I132" s="6"/>
      <c r="J132" s="6"/>
      <c r="K132" s="6"/>
    </row>
    <row r="133" spans="2:11">
      <c r="B133" s="6"/>
      <c r="D133" s="6"/>
      <c r="E133" s="6"/>
      <c r="F133" s="6"/>
      <c r="G133" s="6"/>
      <c r="H133" s="6"/>
      <c r="I133" s="6"/>
      <c r="J133" s="6"/>
      <c r="K133" s="6"/>
    </row>
    <row r="134" spans="2:11">
      <c r="B134" s="6"/>
      <c r="D134" s="6"/>
      <c r="E134" s="6"/>
      <c r="F134" s="6"/>
      <c r="G134" s="6"/>
      <c r="H134" s="6"/>
      <c r="I134" s="6"/>
      <c r="J134" s="6"/>
      <c r="K134" s="6"/>
    </row>
    <row r="135" spans="2:11">
      <c r="B135" s="6"/>
      <c r="D135" s="6"/>
      <c r="E135" s="6"/>
      <c r="F135" s="6"/>
      <c r="G135" s="6"/>
      <c r="H135" s="6"/>
      <c r="I135" s="6"/>
      <c r="J135" s="6"/>
      <c r="K135" s="6"/>
    </row>
    <row r="136" spans="2:11">
      <c r="B136" s="6"/>
      <c r="D136" s="6"/>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sheetData>
  <mergeCells count="37">
    <mergeCell ref="A1:P1"/>
    <mergeCell ref="A2:P2"/>
    <mergeCell ref="A3:P3"/>
    <mergeCell ref="A4:D4"/>
    <mergeCell ref="A5:P5"/>
    <mergeCell ref="B42:B48"/>
    <mergeCell ref="D29:L29"/>
    <mergeCell ref="D30:L30"/>
    <mergeCell ref="B32:E32"/>
    <mergeCell ref="B33:B39"/>
    <mergeCell ref="B41:E41"/>
    <mergeCell ref="D21:L21"/>
    <mergeCell ref="D22:L22"/>
    <mergeCell ref="D23:L23"/>
    <mergeCell ref="D24:L24"/>
    <mergeCell ref="J25:J26"/>
    <mergeCell ref="B15:B24"/>
    <mergeCell ref="L25:L26"/>
    <mergeCell ref="B55:G56"/>
    <mergeCell ref="B74:B85"/>
    <mergeCell ref="B59:D59"/>
    <mergeCell ref="B61:B66"/>
    <mergeCell ref="B67:B68"/>
    <mergeCell ref="D67:D68"/>
    <mergeCell ref="B69:B73"/>
    <mergeCell ref="C25:C26"/>
    <mergeCell ref="D25:D26"/>
    <mergeCell ref="E25:E26"/>
    <mergeCell ref="F25:F26"/>
    <mergeCell ref="G25:G26"/>
    <mergeCell ref="K25:K26"/>
    <mergeCell ref="D15:L15"/>
    <mergeCell ref="B10:D10"/>
    <mergeCell ref="F10:R10"/>
    <mergeCell ref="F11:R11"/>
    <mergeCell ref="E12:R12"/>
    <mergeCell ref="E13:R13"/>
  </mergeCells>
  <conditionalFormatting sqref="F11:R11">
    <cfRule type="expression" dxfId="95" priority="4">
      <formula>E11="NO SE REPORTA"</formula>
    </cfRule>
    <cfRule type="expression" dxfId="94" priority="5">
      <formula>E10="NO APLICA"</formula>
    </cfRule>
  </conditionalFormatting>
  <conditionalFormatting sqref="E12:R12">
    <cfRule type="expression" dxfId="93" priority="3">
      <formula>E11="SI SE REPORTA"</formula>
    </cfRule>
  </conditionalFormatting>
  <conditionalFormatting sqref="F10:R10">
    <cfRule type="expression" dxfId="92" priority="1">
      <formula>E10="NO SE REPORTA"</formula>
    </cfRule>
    <cfRule type="expression" dxfId="91" priority="2">
      <formula>E9="NO APLICA"</formula>
    </cfRule>
  </conditionalFormatting>
  <dataValidations count="4">
    <dataValidation type="whole" operator="greaterThanOrEqual" allowBlank="1" showErrorMessage="1" errorTitle="ERROR" error="Escriba un número igual o mayor que 0" promptTitle="ERROR" prompt="Escriba un número igual o mayor que 0" sqref="E17:F19">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 type="whole" operator="greaterThanOrEqual" allowBlank="1" showInputMessage="1" showErrorMessage="1" errorTitle="ERROR" error="Valor en PESOS (sin centavos)" sqref="H27:K27">
      <formula1>0</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173"/>
  <sheetViews>
    <sheetView showGridLines="0" topLeftCell="A29" zoomScale="98" zoomScaleNormal="98" workbookViewId="0">
      <selection activeCell="H31" sqref="H31:K32"/>
    </sheetView>
  </sheetViews>
  <sheetFormatPr baseColWidth="10" defaultRowHeight="15"/>
  <cols>
    <col min="1" max="1" width="1.85546875" customWidth="1"/>
    <col min="2" max="2" width="10.85546875" customWidth="1"/>
    <col min="3" max="3" width="5" style="86" bestFit="1" customWidth="1"/>
    <col min="4" max="4" width="34.85546875" customWidth="1"/>
    <col min="5" max="5" width="12.140625" customWidth="1"/>
    <col min="10" max="10" width="16.42578125" customWidth="1"/>
    <col min="12" max="12" width="16.42578125" customWidth="1"/>
  </cols>
  <sheetData>
    <row r="1" spans="1:20" s="490" customFormat="1" ht="100.5" customHeight="1" thickBot="1">
      <c r="A1" s="1334"/>
      <c r="B1" s="1335"/>
      <c r="C1" s="1335"/>
      <c r="D1" s="1335"/>
      <c r="E1" s="1335"/>
      <c r="F1" s="1335"/>
      <c r="G1" s="1335"/>
      <c r="H1" s="1335"/>
      <c r="I1" s="1335"/>
      <c r="J1" s="1335"/>
      <c r="K1" s="1335"/>
      <c r="L1" s="1335"/>
      <c r="M1" s="1335"/>
      <c r="N1" s="1335"/>
      <c r="O1" s="1335"/>
      <c r="P1" s="1336"/>
      <c r="Q1" s="389"/>
      <c r="R1" s="389"/>
    </row>
    <row r="2" spans="1:20" s="491" customFormat="1" ht="16.5" thickBot="1">
      <c r="A2" s="1342" t="str">
        <f>'Datos Generales'!C5</f>
        <v>Corporación Autónoma Regional del Cesar – CORPOCESAR</v>
      </c>
      <c r="B2" s="1343"/>
      <c r="C2" s="1343"/>
      <c r="D2" s="1343"/>
      <c r="E2" s="1343"/>
      <c r="F2" s="1343"/>
      <c r="G2" s="1343"/>
      <c r="H2" s="1343"/>
      <c r="I2" s="1343"/>
      <c r="J2" s="1343"/>
      <c r="K2" s="1343"/>
      <c r="L2" s="1343"/>
      <c r="M2" s="1343"/>
      <c r="N2" s="1343"/>
      <c r="O2" s="1343"/>
      <c r="P2" s="1344"/>
      <c r="Q2" s="389"/>
      <c r="R2" s="389"/>
    </row>
    <row r="3" spans="1:20" s="491" customFormat="1" ht="16.5" thickBot="1">
      <c r="A3" s="1337" t="s">
        <v>1294</v>
      </c>
      <c r="B3" s="1338"/>
      <c r="C3" s="1338"/>
      <c r="D3" s="1338"/>
      <c r="E3" s="1338"/>
      <c r="F3" s="1338"/>
      <c r="G3" s="1338"/>
      <c r="H3" s="1338"/>
      <c r="I3" s="1338"/>
      <c r="J3" s="1338"/>
      <c r="K3" s="1338"/>
      <c r="L3" s="1338"/>
      <c r="M3" s="1338"/>
      <c r="N3" s="1338"/>
      <c r="O3" s="1338"/>
      <c r="P3" s="1339"/>
      <c r="Q3" s="389"/>
      <c r="R3" s="389"/>
    </row>
    <row r="4" spans="1:20" s="491" customFormat="1" ht="16.5" thickBot="1">
      <c r="A4" s="1340" t="s">
        <v>1293</v>
      </c>
      <c r="B4" s="1341"/>
      <c r="C4" s="1341"/>
      <c r="D4" s="1341"/>
      <c r="E4" s="498">
        <v>2022</v>
      </c>
      <c r="F4" s="498"/>
      <c r="G4" s="498"/>
      <c r="H4" s="498"/>
      <c r="I4" s="498"/>
      <c r="J4" s="498"/>
      <c r="K4" s="498"/>
      <c r="L4" s="499"/>
      <c r="M4" s="499"/>
      <c r="N4" s="499"/>
      <c r="O4" s="499"/>
      <c r="P4" s="500"/>
      <c r="Q4" s="389"/>
      <c r="R4" s="389"/>
    </row>
    <row r="5" spans="1:20" s="235" customFormat="1" ht="16.5" customHeight="1" thickBot="1">
      <c r="A5" s="1337" t="s">
        <v>480</v>
      </c>
      <c r="B5" s="1338"/>
      <c r="C5" s="1338"/>
      <c r="D5" s="1338"/>
      <c r="E5" s="1338"/>
      <c r="F5" s="1338"/>
      <c r="G5" s="1338"/>
      <c r="H5" s="1338"/>
      <c r="I5" s="1338"/>
      <c r="J5" s="1338"/>
      <c r="K5" s="1338"/>
      <c r="L5" s="1338"/>
      <c r="M5" s="1338"/>
      <c r="N5" s="1338"/>
      <c r="O5" s="1338"/>
      <c r="P5" s="1339"/>
    </row>
    <row r="6" spans="1:20">
      <c r="B6" s="2" t="s">
        <v>1</v>
      </c>
      <c r="C6" s="75"/>
      <c r="D6" s="6"/>
      <c r="E6" s="73"/>
      <c r="F6" s="6" t="s">
        <v>128</v>
      </c>
      <c r="G6" s="6"/>
      <c r="H6" s="6"/>
      <c r="I6" s="6"/>
      <c r="J6" s="6"/>
      <c r="K6" s="6"/>
    </row>
    <row r="7" spans="1:20" ht="15.75" thickBot="1">
      <c r="B7" s="74"/>
      <c r="C7" s="76"/>
      <c r="D7" s="6"/>
      <c r="E7" s="18"/>
      <c r="F7" s="6" t="s">
        <v>129</v>
      </c>
      <c r="G7" s="6"/>
      <c r="H7" s="6"/>
      <c r="I7" s="6"/>
      <c r="J7" s="6"/>
      <c r="K7" s="6"/>
    </row>
    <row r="8" spans="1:20" ht="15.75" thickBot="1">
      <c r="B8" s="170" t="s">
        <v>1181</v>
      </c>
      <c r="C8" s="213">
        <v>2022</v>
      </c>
      <c r="D8" s="218">
        <f>IF(E10="NO APLICA","NO APLICA",IF(E11="NO SE REPORTA","SIN INFORMACION",+Q22))</f>
        <v>1</v>
      </c>
      <c r="E8" s="214"/>
      <c r="F8" s="6" t="s">
        <v>130</v>
      </c>
      <c r="G8" s="6"/>
      <c r="H8" s="6"/>
      <c r="I8" s="6"/>
      <c r="J8" s="6"/>
      <c r="K8" s="6"/>
    </row>
    <row r="9" spans="1:20">
      <c r="B9" s="462" t="s">
        <v>1182</v>
      </c>
      <c r="D9" s="6"/>
      <c r="E9" s="6"/>
      <c r="F9" s="6"/>
      <c r="G9" s="6"/>
      <c r="H9" s="6"/>
      <c r="I9" s="6"/>
      <c r="J9" s="6"/>
      <c r="K9" s="6"/>
    </row>
    <row r="10" spans="1:20" s="389" customFormat="1">
      <c r="A10" s="235"/>
      <c r="B10" s="1392" t="s">
        <v>1236</v>
      </c>
      <c r="C10" s="1392"/>
      <c r="D10" s="1392"/>
      <c r="E10" s="468" t="s">
        <v>1233</v>
      </c>
      <c r="F10" s="1412" t="str">
        <f>'12PlanesAP'!F10</f>
        <v>Acuerdo 005 del 22 de mayo de 2020 (Por medio del cual se aprueba el Plan de Accion Institucional 2020 -2023)</v>
      </c>
      <c r="G10" s="1412"/>
      <c r="H10" s="1412"/>
      <c r="I10" s="1412"/>
      <c r="J10" s="1412"/>
      <c r="K10" s="1412"/>
      <c r="L10" s="1412"/>
      <c r="M10" s="1412"/>
      <c r="N10" s="1412"/>
      <c r="O10" s="1412"/>
      <c r="P10" s="1412"/>
      <c r="Q10" s="1412"/>
      <c r="R10" s="1412"/>
      <c r="S10" s="464"/>
      <c r="T10" s="464"/>
    </row>
    <row r="11" spans="1:20" s="389" customFormat="1" ht="14.45" customHeight="1">
      <c r="A11" s="235"/>
      <c r="B11" s="465"/>
      <c r="C11" s="466"/>
      <c r="D11" s="467" t="str">
        <f>IF(E10="SI APLICA","¿El indicador no se reporta por limitaciones de información disponible? ","")</f>
        <v xml:space="preserve">¿El indicador no se reporta por limitaciones de información disponible? </v>
      </c>
      <c r="E11" s="469" t="s">
        <v>1235</v>
      </c>
      <c r="F11" s="1412"/>
      <c r="G11" s="1412"/>
      <c r="H11" s="1412"/>
      <c r="I11" s="1412"/>
      <c r="J11" s="1412"/>
      <c r="K11" s="1412"/>
      <c r="L11" s="1412"/>
      <c r="M11" s="1412"/>
      <c r="N11" s="1412"/>
      <c r="O11" s="1412"/>
      <c r="P11" s="1412"/>
      <c r="Q11" s="1412"/>
      <c r="R11" s="1412"/>
    </row>
    <row r="12" spans="1:20" s="389" customFormat="1" ht="23.45" customHeight="1">
      <c r="A12" s="235"/>
      <c r="B12" s="462"/>
      <c r="C12" s="292"/>
      <c r="D12" s="467" t="str">
        <f>IF(E11="SI SE REPORTA","¿Qué programas o proyectos del Plan de Acción están asociados al indicador? ","")</f>
        <v xml:space="preserve">¿Qué programas o proyectos del Plan de Acción están asociados al indicador? </v>
      </c>
      <c r="E12" s="1430" t="s">
        <v>2112</v>
      </c>
      <c r="F12" s="1430"/>
      <c r="G12" s="1430"/>
      <c r="H12" s="1430"/>
      <c r="I12" s="1430"/>
      <c r="J12" s="1430"/>
      <c r="K12" s="1430"/>
      <c r="L12" s="1430"/>
      <c r="M12" s="1430"/>
      <c r="N12" s="1430"/>
      <c r="O12" s="1430"/>
      <c r="P12" s="1430"/>
      <c r="Q12" s="1430"/>
      <c r="R12" s="1430"/>
    </row>
    <row r="13" spans="1:20" s="389" customFormat="1" ht="21.95" customHeight="1">
      <c r="A13" s="235"/>
      <c r="B13" s="462"/>
      <c r="C13" s="292"/>
      <c r="D13" s="467" t="s">
        <v>1238</v>
      </c>
      <c r="E13" s="1395"/>
      <c r="F13" s="1396"/>
      <c r="G13" s="1396"/>
      <c r="H13" s="1396"/>
      <c r="I13" s="1396"/>
      <c r="J13" s="1396"/>
      <c r="K13" s="1396"/>
      <c r="L13" s="1396"/>
      <c r="M13" s="1396"/>
      <c r="N13" s="1396"/>
      <c r="O13" s="1396"/>
      <c r="P13" s="1396"/>
      <c r="Q13" s="1396"/>
      <c r="R13" s="1397"/>
    </row>
    <row r="14" spans="1:20" s="389" customFormat="1" ht="6.95" customHeight="1" thickBot="1">
      <c r="B14" s="462"/>
      <c r="C14" s="86"/>
      <c r="D14" s="6"/>
      <c r="E14" s="6"/>
      <c r="F14" s="6"/>
      <c r="G14" s="6"/>
      <c r="H14" s="6"/>
      <c r="I14" s="6"/>
      <c r="J14" s="6"/>
      <c r="K14" s="6"/>
    </row>
    <row r="15" spans="1:20" ht="15.75" thickBot="1">
      <c r="B15" s="1530" t="s">
        <v>2</v>
      </c>
      <c r="C15" s="101"/>
      <c r="D15" s="1453" t="s">
        <v>336</v>
      </c>
      <c r="E15" s="1454"/>
      <c r="F15" s="1454"/>
      <c r="G15" s="1454"/>
      <c r="H15" s="1454"/>
      <c r="I15" s="1454"/>
      <c r="J15" s="1454"/>
      <c r="K15" s="1454"/>
      <c r="L15" s="1533"/>
      <c r="M15" s="1533"/>
      <c r="N15" s="1533"/>
      <c r="O15" s="1533"/>
      <c r="P15" s="1518"/>
      <c r="Q15" s="1520" t="s">
        <v>151</v>
      </c>
    </row>
    <row r="16" spans="1:20" ht="15.75" thickBot="1">
      <c r="B16" s="1531"/>
      <c r="C16" s="108"/>
      <c r="D16" s="1460" t="s">
        <v>150</v>
      </c>
      <c r="E16" s="1523" t="s">
        <v>504</v>
      </c>
      <c r="F16" s="1528"/>
      <c r="G16" s="1528"/>
      <c r="H16" s="1528"/>
      <c r="I16" s="1528"/>
      <c r="J16" s="1529"/>
      <c r="K16" s="1523" t="s">
        <v>505</v>
      </c>
      <c r="L16" s="1524"/>
      <c r="M16" s="1524"/>
      <c r="N16" s="1524"/>
      <c r="O16" s="1524"/>
      <c r="P16" s="1525"/>
      <c r="Q16" s="1521"/>
    </row>
    <row r="17" spans="2:17" ht="15.75" thickBot="1">
      <c r="B17" s="1531"/>
      <c r="C17" s="108"/>
      <c r="D17" s="1466"/>
      <c r="E17" s="1523" t="s">
        <v>506</v>
      </c>
      <c r="F17" s="1528"/>
      <c r="G17" s="1529"/>
      <c r="H17" s="1523" t="s">
        <v>507</v>
      </c>
      <c r="I17" s="1528"/>
      <c r="J17" s="1529"/>
      <c r="K17" s="1523" t="s">
        <v>506</v>
      </c>
      <c r="L17" s="1524"/>
      <c r="M17" s="1525"/>
      <c r="N17" s="1526" t="s">
        <v>507</v>
      </c>
      <c r="O17" s="1524"/>
      <c r="P17" s="1525"/>
      <c r="Q17" s="1521"/>
    </row>
    <row r="18" spans="2:17" ht="15.75" thickBot="1">
      <c r="B18" s="1531"/>
      <c r="C18" s="108"/>
      <c r="D18" s="1527"/>
      <c r="E18" s="40" t="s">
        <v>508</v>
      </c>
      <c r="F18" s="40" t="s">
        <v>509</v>
      </c>
      <c r="G18" s="40" t="s">
        <v>510</v>
      </c>
      <c r="H18" s="40" t="s">
        <v>508</v>
      </c>
      <c r="I18" s="40" t="s">
        <v>509</v>
      </c>
      <c r="J18" s="40" t="s">
        <v>510</v>
      </c>
      <c r="K18" s="40" t="s">
        <v>508</v>
      </c>
      <c r="L18" s="16" t="s">
        <v>509</v>
      </c>
      <c r="M18" s="16" t="s">
        <v>510</v>
      </c>
      <c r="N18" s="16" t="s">
        <v>508</v>
      </c>
      <c r="O18" s="16" t="s">
        <v>509</v>
      </c>
      <c r="P18" s="16" t="s">
        <v>510</v>
      </c>
      <c r="Q18" s="1522"/>
    </row>
    <row r="19" spans="2:17" ht="24.75" thickBot="1">
      <c r="B19" s="1531"/>
      <c r="C19" s="108"/>
      <c r="D19" s="40" t="s">
        <v>511</v>
      </c>
      <c r="E19" s="7"/>
      <c r="F19" s="7">
        <v>4</v>
      </c>
      <c r="G19" s="7">
        <v>1</v>
      </c>
      <c r="H19" s="7">
        <v>4</v>
      </c>
      <c r="I19" s="7">
        <v>3</v>
      </c>
      <c r="J19" s="7">
        <v>9</v>
      </c>
      <c r="K19" s="7"/>
      <c r="L19" s="7"/>
      <c r="M19" s="7"/>
      <c r="N19" s="7"/>
      <c r="O19" s="7"/>
      <c r="P19" s="7"/>
      <c r="Q19" s="390">
        <f>SUM(E19:P19)</f>
        <v>21</v>
      </c>
    </row>
    <row r="20" spans="2:17" ht="36.75" thickBot="1">
      <c r="B20" s="1531"/>
      <c r="C20" s="108"/>
      <c r="D20" s="40" t="s">
        <v>512</v>
      </c>
      <c r="E20" s="7"/>
      <c r="F20" s="7">
        <v>0</v>
      </c>
      <c r="G20" s="7">
        <v>0</v>
      </c>
      <c r="H20" s="7">
        <v>0</v>
      </c>
      <c r="I20" s="7">
        <v>0</v>
      </c>
      <c r="J20" s="7">
        <v>2</v>
      </c>
      <c r="K20" s="7"/>
      <c r="L20" s="7"/>
      <c r="M20" s="7"/>
      <c r="N20" s="7"/>
      <c r="O20" s="7"/>
      <c r="P20" s="7"/>
      <c r="Q20" s="390">
        <f>SUM(E20:P20)</f>
        <v>2</v>
      </c>
    </row>
    <row r="21" spans="2:17" ht="36.75" thickBot="1">
      <c r="B21" s="1531"/>
      <c r="C21" s="108"/>
      <c r="D21" s="40" t="s">
        <v>513</v>
      </c>
      <c r="E21" s="7"/>
      <c r="F21" s="7">
        <v>0</v>
      </c>
      <c r="G21" s="7">
        <v>0</v>
      </c>
      <c r="H21" s="7">
        <v>0</v>
      </c>
      <c r="I21" s="7">
        <v>0</v>
      </c>
      <c r="J21" s="7">
        <v>2</v>
      </c>
      <c r="K21" s="7"/>
      <c r="L21" s="7"/>
      <c r="M21" s="7"/>
      <c r="N21" s="7"/>
      <c r="O21" s="7"/>
      <c r="P21" s="7"/>
      <c r="Q21" s="390">
        <f>SUM(E21:P21)</f>
        <v>2</v>
      </c>
    </row>
    <row r="22" spans="2:17" ht="36.75" thickBot="1">
      <c r="B22" s="1531"/>
      <c r="C22" s="108"/>
      <c r="D22" s="40" t="s">
        <v>480</v>
      </c>
      <c r="E22" s="141" t="str">
        <f>IFERROR(E21/E20,"N.A.")</f>
        <v>N.A.</v>
      </c>
      <c r="F22" s="141" t="str">
        <f t="shared" ref="F22:P22" si="0">IFERROR(F21/F20,"N.A.")</f>
        <v>N.A.</v>
      </c>
      <c r="G22" s="141" t="str">
        <f t="shared" si="0"/>
        <v>N.A.</v>
      </c>
      <c r="H22" s="141" t="str">
        <f t="shared" si="0"/>
        <v>N.A.</v>
      </c>
      <c r="I22" s="141" t="str">
        <f t="shared" si="0"/>
        <v>N.A.</v>
      </c>
      <c r="J22" s="141">
        <f t="shared" si="0"/>
        <v>1</v>
      </c>
      <c r="K22" s="141" t="str">
        <f t="shared" si="0"/>
        <v>N.A.</v>
      </c>
      <c r="L22" s="141" t="str">
        <f t="shared" si="0"/>
        <v>N.A.</v>
      </c>
      <c r="M22" s="141" t="str">
        <f t="shared" si="0"/>
        <v>N.A.</v>
      </c>
      <c r="N22" s="141" t="str">
        <f t="shared" si="0"/>
        <v>N.A.</v>
      </c>
      <c r="O22" s="141" t="str">
        <f t="shared" si="0"/>
        <v>N.A.</v>
      </c>
      <c r="P22" s="141" t="str">
        <f t="shared" si="0"/>
        <v>N.A.</v>
      </c>
      <c r="Q22" s="141">
        <f>IFERROR(Q21/Q20,"N.A.")</f>
        <v>1</v>
      </c>
    </row>
    <row r="23" spans="2:17">
      <c r="B23" s="1531"/>
      <c r="C23" s="102"/>
      <c r="D23" s="1458" t="s">
        <v>514</v>
      </c>
      <c r="E23" s="1459"/>
      <c r="F23" s="1459"/>
      <c r="G23" s="1459"/>
      <c r="H23" s="1459"/>
      <c r="I23" s="1459"/>
      <c r="J23" s="1459"/>
      <c r="K23" s="1459"/>
      <c r="L23" s="1534"/>
      <c r="M23" s="1534"/>
      <c r="N23" s="1534"/>
      <c r="O23" s="1534"/>
      <c r="P23" s="1514"/>
    </row>
    <row r="24" spans="2:17">
      <c r="B24" s="1531"/>
      <c r="C24" s="102"/>
      <c r="D24" s="1464" t="s">
        <v>515</v>
      </c>
      <c r="E24" s="1465"/>
      <c r="F24" s="1465"/>
      <c r="G24" s="1465"/>
      <c r="H24" s="1465"/>
      <c r="I24" s="1465"/>
      <c r="J24" s="1465"/>
      <c r="K24" s="1465"/>
      <c r="L24" s="1535"/>
      <c r="M24" s="1535"/>
      <c r="N24" s="1535"/>
      <c r="O24" s="1535"/>
      <c r="P24" s="1515"/>
    </row>
    <row r="25" spans="2:17">
      <c r="B25" s="1531"/>
      <c r="C25" s="102"/>
      <c r="D25" s="1464" t="s">
        <v>516</v>
      </c>
      <c r="E25" s="1465"/>
      <c r="F25" s="1465"/>
      <c r="G25" s="1465"/>
      <c r="H25" s="1465"/>
      <c r="I25" s="1465"/>
      <c r="J25" s="1465"/>
      <c r="K25" s="1465"/>
      <c r="L25" s="1535"/>
      <c r="M25" s="1535"/>
      <c r="N25" s="1535"/>
      <c r="O25" s="1535"/>
      <c r="P25" s="1515"/>
    </row>
    <row r="26" spans="2:17">
      <c r="B26" s="1531"/>
      <c r="C26" s="102"/>
      <c r="D26" s="1461" t="s">
        <v>246</v>
      </c>
      <c r="E26" s="1462"/>
      <c r="F26" s="1462"/>
      <c r="G26" s="1462"/>
      <c r="H26" s="1462"/>
      <c r="I26" s="1462"/>
      <c r="J26" s="1462"/>
      <c r="K26" s="1462"/>
      <c r="L26" s="1536"/>
      <c r="M26" s="1536"/>
      <c r="N26" s="1536"/>
      <c r="O26" s="1536"/>
      <c r="P26" s="1516"/>
    </row>
    <row r="27" spans="2:17">
      <c r="B27" s="1531"/>
      <c r="C27" s="102"/>
      <c r="D27" s="1461" t="s">
        <v>517</v>
      </c>
      <c r="E27" s="1462"/>
      <c r="F27" s="1462"/>
      <c r="G27" s="1462"/>
      <c r="H27" s="1462"/>
      <c r="I27" s="1462"/>
      <c r="J27" s="1462"/>
      <c r="K27" s="1462"/>
      <c r="L27" s="1536"/>
      <c r="M27" s="1536"/>
      <c r="N27" s="1536"/>
      <c r="O27" s="1536"/>
      <c r="P27" s="1516"/>
    </row>
    <row r="28" spans="2:17" ht="15.75" thickBot="1">
      <c r="B28" s="1531"/>
      <c r="C28" s="102"/>
      <c r="D28" s="1464" t="s">
        <v>340</v>
      </c>
      <c r="E28" s="1465"/>
      <c r="F28" s="1465"/>
      <c r="G28" s="1465"/>
      <c r="H28" s="1465"/>
      <c r="I28" s="1465"/>
      <c r="J28" s="1465"/>
      <c r="K28" s="1465"/>
      <c r="L28" s="1535"/>
      <c r="M28" s="1535"/>
      <c r="N28" s="1535"/>
      <c r="O28" s="1535"/>
      <c r="P28" s="1515"/>
    </row>
    <row r="29" spans="2:17" ht="21" customHeight="1">
      <c r="B29" s="1531"/>
      <c r="C29" s="1541" t="s">
        <v>19</v>
      </c>
      <c r="D29" s="1520" t="s">
        <v>270</v>
      </c>
      <c r="E29" s="1520" t="s">
        <v>518</v>
      </c>
      <c r="F29" s="1520" t="s">
        <v>519</v>
      </c>
      <c r="G29" s="1520" t="s">
        <v>520</v>
      </c>
      <c r="H29" s="202" t="s">
        <v>473</v>
      </c>
      <c r="I29" s="202" t="s">
        <v>475</v>
      </c>
      <c r="J29" s="1520" t="s">
        <v>274</v>
      </c>
      <c r="K29" s="1520" t="s">
        <v>275</v>
      </c>
      <c r="L29" s="1520" t="s">
        <v>55</v>
      </c>
      <c r="P29" s="14"/>
    </row>
    <row r="30" spans="2:17" ht="15.75" thickBot="1">
      <c r="B30" s="1531"/>
      <c r="C30" s="1542"/>
      <c r="D30" s="1522"/>
      <c r="E30" s="1522"/>
      <c r="F30" s="1522"/>
      <c r="G30" s="1522"/>
      <c r="H30" s="203" t="s">
        <v>474</v>
      </c>
      <c r="I30" s="203" t="s">
        <v>476</v>
      </c>
      <c r="J30" s="1522"/>
      <c r="K30" s="1522"/>
      <c r="L30" s="1522"/>
      <c r="P30" s="14"/>
    </row>
    <row r="31" spans="2:17" ht="24.75" customHeight="1" thickBot="1">
      <c r="B31" s="1531"/>
      <c r="C31" s="362"/>
      <c r="D31" s="1545" t="s">
        <v>1775</v>
      </c>
      <c r="E31" s="30" t="s">
        <v>1397</v>
      </c>
      <c r="F31" s="30" t="s">
        <v>1403</v>
      </c>
      <c r="G31" s="30" t="s">
        <v>1404</v>
      </c>
      <c r="H31" s="1543">
        <v>900000000</v>
      </c>
      <c r="I31" s="1543">
        <v>900000000</v>
      </c>
      <c r="J31" s="1543">
        <v>899103703.5</v>
      </c>
      <c r="K31" s="1543">
        <v>524739704</v>
      </c>
      <c r="L31" s="1543"/>
      <c r="P31" s="14"/>
    </row>
    <row r="32" spans="2:17" ht="24.75" thickBot="1">
      <c r="B32" s="1531"/>
      <c r="C32" s="362"/>
      <c r="D32" s="1546"/>
      <c r="E32" s="30" t="s">
        <v>1397</v>
      </c>
      <c r="F32" s="30" t="s">
        <v>1405</v>
      </c>
      <c r="G32" s="30" t="s">
        <v>1406</v>
      </c>
      <c r="H32" s="1544"/>
      <c r="I32" s="1544"/>
      <c r="J32" s="1544"/>
      <c r="K32" s="1544"/>
      <c r="L32" s="1544"/>
      <c r="P32" s="14"/>
    </row>
    <row r="33" spans="2:16" ht="15.75" thickBot="1">
      <c r="B33" s="1531"/>
      <c r="C33" s="362"/>
      <c r="D33" s="30"/>
      <c r="E33" s="30"/>
      <c r="F33" s="30"/>
      <c r="G33" s="30"/>
      <c r="H33" s="190"/>
      <c r="I33" s="190"/>
      <c r="J33" s="190"/>
      <c r="K33" s="190"/>
      <c r="L33" s="190"/>
      <c r="P33" s="14"/>
    </row>
    <row r="34" spans="2:16" ht="15.75" thickBot="1">
      <c r="B34" s="1532"/>
      <c r="C34" s="109"/>
      <c r="D34" s="39" t="s">
        <v>151</v>
      </c>
      <c r="E34" s="27"/>
      <c r="F34" s="27"/>
      <c r="G34" s="27"/>
      <c r="H34" s="139">
        <f>SUM(H31:H33)</f>
        <v>900000000</v>
      </c>
      <c r="I34" s="139">
        <f>SUM(I31:I33)</f>
        <v>900000000</v>
      </c>
      <c r="J34" s="139">
        <f>SUM(J31:J33)</f>
        <v>899103703.5</v>
      </c>
      <c r="K34" s="139">
        <f>SUM(K31:K33)</f>
        <v>524739704</v>
      </c>
      <c r="L34" s="190"/>
      <c r="M34" s="15"/>
      <c r="N34" s="15"/>
      <c r="P34" s="11"/>
    </row>
    <row r="35" spans="2:16" ht="24" customHeight="1" thickBot="1">
      <c r="B35" s="71" t="s">
        <v>34</v>
      </c>
      <c r="C35" s="107"/>
      <c r="D35" s="1453" t="s">
        <v>521</v>
      </c>
      <c r="E35" s="1454"/>
      <c r="F35" s="1454"/>
      <c r="G35" s="1454"/>
      <c r="H35" s="1454"/>
      <c r="I35" s="1454"/>
      <c r="J35" s="1454"/>
      <c r="K35" s="1454"/>
      <c r="L35" s="1533"/>
      <c r="M35" s="1533"/>
      <c r="N35" s="1533"/>
      <c r="O35" s="1533"/>
      <c r="P35" s="1518"/>
    </row>
    <row r="36" spans="2:16" ht="23.25" thickBot="1">
      <c r="B36" s="71" t="s">
        <v>36</v>
      </c>
      <c r="C36" s="107"/>
      <c r="D36" s="1453" t="s">
        <v>346</v>
      </c>
      <c r="E36" s="1454"/>
      <c r="F36" s="1454"/>
      <c r="G36" s="1454"/>
      <c r="H36" s="1454"/>
      <c r="I36" s="1454"/>
      <c r="J36" s="1454"/>
      <c r="K36" s="1454"/>
      <c r="L36" s="1533"/>
      <c r="M36" s="1533"/>
      <c r="N36" s="1533"/>
      <c r="O36" s="1533"/>
      <c r="P36" s="1518"/>
    </row>
    <row r="37" spans="2:16" ht="15.75" thickBot="1">
      <c r="B37" s="2"/>
      <c r="C37" s="75"/>
      <c r="D37" s="6"/>
      <c r="E37" s="6"/>
      <c r="F37" s="6"/>
      <c r="G37" s="6"/>
      <c r="H37" s="6"/>
      <c r="I37" s="6"/>
      <c r="J37" s="6"/>
      <c r="K37" s="6"/>
    </row>
    <row r="38" spans="2:16" ht="24" customHeight="1" thickBot="1">
      <c r="B38" s="1450" t="s">
        <v>38</v>
      </c>
      <c r="C38" s="1451"/>
      <c r="D38" s="1451"/>
      <c r="E38" s="1452"/>
      <c r="F38" s="6"/>
      <c r="G38" s="6"/>
      <c r="H38" s="6"/>
      <c r="I38" s="6"/>
      <c r="J38" s="6"/>
      <c r="K38" s="6"/>
    </row>
    <row r="39" spans="2:16" ht="15.75" thickBot="1">
      <c r="B39" s="1447">
        <v>1</v>
      </c>
      <c r="C39" s="93"/>
      <c r="D39" s="48" t="s">
        <v>39</v>
      </c>
      <c r="E39" s="554"/>
      <c r="F39" s="6"/>
      <c r="G39" s="6"/>
      <c r="H39" s="6"/>
      <c r="I39" s="6"/>
      <c r="J39" s="6"/>
      <c r="K39" s="6"/>
    </row>
    <row r="40" spans="2:16" ht="60.75" thickBot="1">
      <c r="B40" s="1448"/>
      <c r="C40" s="93"/>
      <c r="D40" s="40" t="s">
        <v>40</v>
      </c>
      <c r="E40" s="554" t="s">
        <v>1399</v>
      </c>
      <c r="F40" s="6"/>
      <c r="G40" s="6"/>
      <c r="H40" s="6"/>
      <c r="I40" s="6"/>
      <c r="J40" s="6"/>
      <c r="K40" s="6"/>
    </row>
    <row r="41" spans="2:16" ht="48.75" thickBot="1">
      <c r="B41" s="1448"/>
      <c r="C41" s="93"/>
      <c r="D41" s="40" t="s">
        <v>41</v>
      </c>
      <c r="E41" s="554" t="s">
        <v>1400</v>
      </c>
      <c r="F41" s="6"/>
      <c r="G41" s="6"/>
      <c r="H41" s="6"/>
      <c r="I41" s="6"/>
      <c r="J41" s="6"/>
      <c r="K41" s="6"/>
    </row>
    <row r="42" spans="2:16" ht="24.75" thickBot="1">
      <c r="B42" s="1448"/>
      <c r="C42" s="93"/>
      <c r="D42" s="40" t="s">
        <v>42</v>
      </c>
      <c r="E42" s="554" t="s">
        <v>1476</v>
      </c>
      <c r="F42" s="6"/>
      <c r="G42" s="6"/>
      <c r="H42" s="6"/>
      <c r="I42" s="6"/>
      <c r="J42" s="6"/>
      <c r="K42" s="6"/>
    </row>
    <row r="43" spans="2:16" ht="15.75" thickBot="1">
      <c r="B43" s="1448"/>
      <c r="C43" s="93"/>
      <c r="D43" s="40" t="s">
        <v>43</v>
      </c>
      <c r="E43" s="554" t="s">
        <v>1390</v>
      </c>
      <c r="F43" s="6"/>
      <c r="G43" s="6"/>
      <c r="H43" s="6"/>
      <c r="I43" s="6"/>
      <c r="J43" s="6"/>
      <c r="K43" s="6"/>
    </row>
    <row r="44" spans="2:16" ht="48.75" thickBot="1">
      <c r="B44" s="1448"/>
      <c r="C44" s="93"/>
      <c r="D44" s="40" t="s">
        <v>44</v>
      </c>
      <c r="E44" s="554" t="s">
        <v>1391</v>
      </c>
      <c r="F44" s="6"/>
      <c r="G44" s="6"/>
      <c r="H44" s="6"/>
      <c r="I44" s="6"/>
      <c r="J44" s="6"/>
      <c r="K44" s="6"/>
    </row>
    <row r="45" spans="2:16" ht="15.75" thickBot="1">
      <c r="B45" s="1449"/>
      <c r="C45" s="3"/>
      <c r="D45" s="40" t="s">
        <v>45</v>
      </c>
      <c r="E45" s="554">
        <v>5748960</v>
      </c>
      <c r="F45" s="6"/>
      <c r="G45" s="6"/>
      <c r="H45" s="6"/>
      <c r="I45" s="6"/>
      <c r="J45" s="6"/>
      <c r="K45" s="6"/>
    </row>
    <row r="46" spans="2:16" ht="90.75" thickBot="1">
      <c r="B46" s="2"/>
      <c r="C46" s="75"/>
      <c r="D46" s="6"/>
      <c r="E46" s="590" t="s">
        <v>1407</v>
      </c>
      <c r="F46" s="6"/>
      <c r="G46" s="6"/>
      <c r="H46" s="6"/>
      <c r="I46" s="6"/>
      <c r="J46" s="6"/>
      <c r="K46" s="6"/>
    </row>
    <row r="47" spans="2:16" ht="15.75" thickBot="1">
      <c r="B47" s="1450" t="s">
        <v>46</v>
      </c>
      <c r="C47" s="1451"/>
      <c r="D47" s="1451"/>
      <c r="E47" s="1452"/>
      <c r="F47" s="6"/>
      <c r="G47" s="6"/>
      <c r="H47" s="6"/>
      <c r="I47" s="6"/>
      <c r="J47" s="6"/>
      <c r="K47" s="6"/>
    </row>
    <row r="48" spans="2:16" ht="60.75" thickBot="1">
      <c r="B48" s="1447">
        <v>1</v>
      </c>
      <c r="C48" s="93"/>
      <c r="D48" s="48" t="s">
        <v>39</v>
      </c>
      <c r="E48" s="622" t="s">
        <v>522</v>
      </c>
      <c r="F48" s="6"/>
      <c r="G48" s="6"/>
      <c r="H48" s="6"/>
      <c r="I48" s="6"/>
      <c r="J48" s="6"/>
      <c r="K48" s="6"/>
    </row>
    <row r="49" spans="2:11" ht="84.75" thickBot="1">
      <c r="B49" s="1448"/>
      <c r="C49" s="93"/>
      <c r="D49" s="40" t="s">
        <v>40</v>
      </c>
      <c r="E49" s="622" t="s">
        <v>48</v>
      </c>
      <c r="F49" s="6"/>
      <c r="G49" s="6"/>
      <c r="H49" s="6"/>
      <c r="I49" s="6"/>
      <c r="J49" s="6"/>
      <c r="K49" s="6"/>
    </row>
    <row r="50" spans="2:11" ht="15.75" thickBot="1">
      <c r="B50" s="1448"/>
      <c r="C50" s="93"/>
      <c r="D50" s="40" t="s">
        <v>41</v>
      </c>
      <c r="E50" s="291"/>
      <c r="F50" s="6"/>
      <c r="G50" s="6"/>
      <c r="H50" s="6"/>
      <c r="I50" s="6"/>
      <c r="J50" s="6"/>
      <c r="K50" s="6"/>
    </row>
    <row r="51" spans="2:11" ht="15.75" thickBot="1">
      <c r="B51" s="1448"/>
      <c r="C51" s="93"/>
      <c r="D51" s="40" t="s">
        <v>42</v>
      </c>
      <c r="E51" s="291"/>
      <c r="F51" s="6"/>
      <c r="G51" s="6"/>
      <c r="H51" s="6"/>
      <c r="I51" s="6"/>
      <c r="J51" s="6"/>
      <c r="K51" s="6"/>
    </row>
    <row r="52" spans="2:11" ht="15.75" thickBot="1">
      <c r="B52" s="1448"/>
      <c r="C52" s="93"/>
      <c r="D52" s="40" t="s">
        <v>43</v>
      </c>
      <c r="E52" s="291"/>
      <c r="F52" s="6"/>
      <c r="G52" s="6"/>
      <c r="H52" s="6"/>
      <c r="I52" s="6"/>
      <c r="J52" s="6"/>
      <c r="K52" s="6"/>
    </row>
    <row r="53" spans="2:11" ht="15.75" thickBot="1">
      <c r="B53" s="1448"/>
      <c r="C53" s="93"/>
      <c r="D53" s="40" t="s">
        <v>44</v>
      </c>
      <c r="E53" s="291"/>
      <c r="F53" s="6"/>
      <c r="G53" s="6"/>
      <c r="H53" s="6"/>
      <c r="I53" s="6"/>
      <c r="J53" s="6"/>
      <c r="K53" s="6"/>
    </row>
    <row r="54" spans="2:11" ht="15.75" thickBot="1">
      <c r="B54" s="1449"/>
      <c r="C54" s="3"/>
      <c r="D54" s="40" t="s">
        <v>45</v>
      </c>
      <c r="E54" s="291"/>
      <c r="F54" s="6"/>
      <c r="G54" s="6"/>
      <c r="H54" s="6"/>
      <c r="I54" s="6"/>
      <c r="J54" s="6"/>
      <c r="K54" s="6"/>
    </row>
    <row r="55" spans="2:11">
      <c r="B55" s="2"/>
      <c r="C55" s="75"/>
      <c r="D55" s="6"/>
      <c r="E55" s="6"/>
      <c r="F55" s="6"/>
      <c r="G55" s="6"/>
      <c r="H55" s="6"/>
      <c r="I55" s="6"/>
      <c r="J55" s="6"/>
      <c r="K55" s="6"/>
    </row>
    <row r="56" spans="2:11" ht="15.75" thickBot="1">
      <c r="B56" s="2"/>
      <c r="C56" s="75"/>
      <c r="D56" s="6"/>
      <c r="E56" s="6"/>
      <c r="F56" s="6"/>
      <c r="G56" s="6"/>
      <c r="H56" s="6"/>
      <c r="I56" s="6"/>
      <c r="J56" s="6"/>
      <c r="K56" s="6"/>
    </row>
    <row r="57" spans="2:11" ht="15.75" thickBot="1">
      <c r="B57" s="1450" t="s">
        <v>49</v>
      </c>
      <c r="C57" s="1451"/>
      <c r="D57" s="1451"/>
      <c r="E57" s="1451"/>
      <c r="F57" s="1452"/>
      <c r="G57" s="6"/>
      <c r="H57" s="6"/>
      <c r="I57" s="6"/>
      <c r="J57" s="6"/>
      <c r="K57" s="6"/>
    </row>
    <row r="58" spans="2:11" ht="24.75" thickBot="1">
      <c r="B58" s="47" t="s">
        <v>50</v>
      </c>
      <c r="C58" s="40" t="s">
        <v>51</v>
      </c>
      <c r="D58" s="40" t="s">
        <v>52</v>
      </c>
      <c r="E58" s="40" t="s">
        <v>53</v>
      </c>
      <c r="F58" s="6"/>
      <c r="G58" s="6"/>
      <c r="H58" s="6"/>
      <c r="I58" s="6"/>
      <c r="J58" s="6"/>
    </row>
    <row r="59" spans="2:11" ht="72.75" thickBot="1">
      <c r="B59" s="49">
        <v>42401</v>
      </c>
      <c r="C59" s="40">
        <v>0.01</v>
      </c>
      <c r="D59" s="50" t="s">
        <v>523</v>
      </c>
      <c r="E59" s="40"/>
      <c r="F59" s="6"/>
      <c r="G59" s="6"/>
      <c r="H59" s="6"/>
      <c r="I59" s="6"/>
      <c r="J59" s="6"/>
    </row>
    <row r="60" spans="2:11" ht="15.75" thickBot="1">
      <c r="B60" s="4"/>
      <c r="C60" s="94"/>
      <c r="D60" s="6"/>
      <c r="E60" s="6"/>
      <c r="F60" s="6"/>
      <c r="G60" s="6"/>
      <c r="H60" s="6"/>
      <c r="I60" s="6"/>
      <c r="J60" s="6"/>
      <c r="K60" s="6"/>
    </row>
    <row r="61" spans="2:11" ht="24.75" thickBot="1">
      <c r="B61" s="5" t="s">
        <v>55</v>
      </c>
      <c r="C61" s="95"/>
      <c r="D61" s="6"/>
      <c r="E61" s="6"/>
      <c r="F61" s="6"/>
      <c r="G61" s="6"/>
      <c r="H61" s="6"/>
      <c r="I61" s="6"/>
      <c r="J61" s="6"/>
      <c r="K61" s="6"/>
    </row>
    <row r="62" spans="2:11" s="136" customFormat="1">
      <c r="B62" s="1537" t="s">
        <v>524</v>
      </c>
      <c r="C62" s="1538"/>
      <c r="D62" s="1538"/>
      <c r="E62" s="1538"/>
      <c r="F62" s="1538"/>
      <c r="G62" s="1538"/>
      <c r="H62" s="135"/>
      <c r="I62" s="135"/>
      <c r="J62" s="135"/>
      <c r="K62" s="135"/>
    </row>
    <row r="63" spans="2:11" s="136" customFormat="1">
      <c r="B63" s="1537" t="s">
        <v>525</v>
      </c>
      <c r="C63" s="1538"/>
      <c r="D63" s="1538"/>
      <c r="E63" s="1538"/>
      <c r="F63" s="1538"/>
      <c r="G63" s="1538"/>
      <c r="H63" s="135"/>
      <c r="I63" s="135"/>
      <c r="J63" s="135"/>
      <c r="K63" s="135"/>
    </row>
    <row r="64" spans="2:11" s="136" customFormat="1" ht="35.450000000000003" customHeight="1">
      <c r="B64" s="1539"/>
      <c r="C64" s="1540"/>
      <c r="D64" s="1540"/>
      <c r="E64" s="1540"/>
      <c r="F64" s="1540"/>
      <c r="G64" s="1540"/>
      <c r="H64" s="135"/>
      <c r="I64" s="135"/>
      <c r="J64" s="135"/>
      <c r="K64" s="135"/>
    </row>
    <row r="65" spans="2:11" ht="15.75" thickBot="1">
      <c r="B65" s="2"/>
      <c r="C65" s="75"/>
      <c r="D65" s="6"/>
      <c r="E65" s="6"/>
      <c r="F65" s="6"/>
      <c r="G65" s="6"/>
      <c r="H65" s="6"/>
      <c r="I65" s="6"/>
      <c r="J65" s="6"/>
      <c r="K65" s="6"/>
    </row>
    <row r="66" spans="2:11" ht="24.75" thickBot="1">
      <c r="B66" s="51" t="s">
        <v>56</v>
      </c>
      <c r="C66" s="96"/>
      <c r="D66" s="6"/>
      <c r="E66" s="6"/>
      <c r="F66" s="6"/>
      <c r="G66" s="6"/>
      <c r="H66" s="6"/>
      <c r="I66" s="6"/>
      <c r="J66" s="6"/>
      <c r="K66" s="6"/>
    </row>
    <row r="67" spans="2:11" ht="15.75" thickBot="1">
      <c r="B67" s="37"/>
      <c r="C67" s="87"/>
      <c r="D67" s="6"/>
      <c r="E67" s="6"/>
      <c r="F67" s="6"/>
      <c r="G67" s="6"/>
      <c r="H67" s="6"/>
      <c r="I67" s="6"/>
      <c r="J67" s="6"/>
      <c r="K67" s="6"/>
    </row>
    <row r="68" spans="2:11" ht="84.75" thickBot="1">
      <c r="B68" s="52" t="s">
        <v>57</v>
      </c>
      <c r="C68" s="97"/>
      <c r="D68" s="43" t="s">
        <v>481</v>
      </c>
      <c r="E68" s="6"/>
      <c r="F68" s="6"/>
      <c r="G68" s="6"/>
      <c r="H68" s="6"/>
      <c r="I68" s="6"/>
      <c r="J68" s="6"/>
      <c r="K68" s="6"/>
    </row>
    <row r="69" spans="2:11">
      <c r="B69" s="1447" t="s">
        <v>59</v>
      </c>
      <c r="C69" s="93"/>
      <c r="D69" s="53" t="s">
        <v>60</v>
      </c>
      <c r="E69" s="6"/>
      <c r="F69" s="6"/>
      <c r="G69" s="6"/>
      <c r="H69" s="6"/>
      <c r="I69" s="6"/>
      <c r="J69" s="6"/>
      <c r="K69" s="6"/>
    </row>
    <row r="70" spans="2:11" ht="120">
      <c r="B70" s="1448"/>
      <c r="C70" s="93"/>
      <c r="D70" s="46" t="s">
        <v>482</v>
      </c>
      <c r="E70" s="6"/>
      <c r="F70" s="6"/>
      <c r="G70" s="6"/>
      <c r="H70" s="6"/>
      <c r="I70" s="6"/>
      <c r="J70" s="6"/>
      <c r="K70" s="6"/>
    </row>
    <row r="71" spans="2:11">
      <c r="B71" s="1448"/>
      <c r="C71" s="93"/>
      <c r="D71" s="53" t="s">
        <v>63</v>
      </c>
      <c r="E71" s="6"/>
      <c r="F71" s="6"/>
      <c r="G71" s="6"/>
      <c r="H71" s="6"/>
      <c r="I71" s="6"/>
      <c r="J71" s="6"/>
      <c r="K71" s="6"/>
    </row>
    <row r="72" spans="2:11" ht="72">
      <c r="B72" s="1448"/>
      <c r="C72" s="93"/>
      <c r="D72" s="46" t="s">
        <v>483</v>
      </c>
      <c r="E72" s="6"/>
      <c r="F72" s="6"/>
      <c r="G72" s="6"/>
      <c r="H72" s="6"/>
      <c r="I72" s="6"/>
      <c r="J72" s="6"/>
      <c r="K72" s="6"/>
    </row>
    <row r="73" spans="2:11">
      <c r="B73" s="1448"/>
      <c r="C73" s="93"/>
      <c r="D73" s="46" t="s">
        <v>65</v>
      </c>
      <c r="E73" s="6"/>
      <c r="F73" s="6"/>
      <c r="G73" s="6"/>
      <c r="H73" s="6"/>
      <c r="I73" s="6"/>
      <c r="J73" s="6"/>
      <c r="K73" s="6"/>
    </row>
    <row r="74" spans="2:11">
      <c r="B74" s="1448"/>
      <c r="C74" s="93"/>
      <c r="D74" s="46" t="s">
        <v>484</v>
      </c>
      <c r="E74" s="6"/>
      <c r="F74" s="6"/>
      <c r="G74" s="6"/>
      <c r="H74" s="6"/>
      <c r="I74" s="6"/>
      <c r="J74" s="6"/>
      <c r="K74" s="6"/>
    </row>
    <row r="75" spans="2:11">
      <c r="B75" s="1448"/>
      <c r="C75" s="93"/>
      <c r="D75" s="46" t="s">
        <v>485</v>
      </c>
      <c r="E75" s="6"/>
      <c r="F75" s="6"/>
      <c r="G75" s="6"/>
      <c r="H75" s="6"/>
      <c r="I75" s="6"/>
      <c r="J75" s="6"/>
      <c r="K75" s="6"/>
    </row>
    <row r="76" spans="2:11">
      <c r="B76" s="1448"/>
      <c r="C76" s="93"/>
      <c r="D76" s="53" t="s">
        <v>288</v>
      </c>
      <c r="E76" s="6"/>
      <c r="F76" s="6"/>
      <c r="G76" s="6"/>
      <c r="H76" s="6"/>
      <c r="I76" s="6"/>
      <c r="J76" s="6"/>
      <c r="K76" s="6"/>
    </row>
    <row r="77" spans="2:11" ht="36.75" thickBot="1">
      <c r="B77" s="1449"/>
      <c r="C77" s="3"/>
      <c r="D77" s="40" t="s">
        <v>453</v>
      </c>
      <c r="E77" s="6"/>
      <c r="F77" s="6"/>
      <c r="G77" s="6"/>
      <c r="H77" s="6"/>
      <c r="I77" s="6"/>
      <c r="J77" s="6"/>
      <c r="K77" s="6"/>
    </row>
    <row r="78" spans="2:11" ht="24.75" thickBot="1">
      <c r="B78" s="47" t="s">
        <v>72</v>
      </c>
      <c r="C78" s="3"/>
      <c r="D78" s="40"/>
      <c r="E78" s="6"/>
      <c r="F78" s="6"/>
      <c r="G78" s="6"/>
      <c r="H78" s="6"/>
      <c r="I78" s="6"/>
      <c r="J78" s="6"/>
      <c r="K78" s="6"/>
    </row>
    <row r="79" spans="2:11" ht="48">
      <c r="B79" s="1447" t="s">
        <v>73</v>
      </c>
      <c r="C79" s="93"/>
      <c r="D79" s="46" t="s">
        <v>486</v>
      </c>
      <c r="E79" s="6"/>
      <c r="F79" s="6"/>
      <c r="G79" s="6"/>
      <c r="H79" s="6"/>
      <c r="I79" s="6"/>
      <c r="J79" s="6"/>
      <c r="K79" s="6"/>
    </row>
    <row r="80" spans="2:11" ht="60">
      <c r="B80" s="1448"/>
      <c r="C80" s="93"/>
      <c r="D80" s="26" t="s">
        <v>487</v>
      </c>
      <c r="E80" s="6"/>
      <c r="F80" s="6"/>
      <c r="G80" s="6"/>
      <c r="H80" s="6"/>
      <c r="I80" s="6"/>
      <c r="J80" s="6"/>
      <c r="K80" s="6"/>
    </row>
    <row r="81" spans="2:11" ht="36">
      <c r="B81" s="1448"/>
      <c r="C81" s="93"/>
      <c r="D81" s="26" t="s">
        <v>488</v>
      </c>
      <c r="E81" s="6"/>
      <c r="F81" s="6"/>
      <c r="G81" s="6"/>
      <c r="H81" s="6"/>
      <c r="I81" s="6"/>
      <c r="J81" s="6"/>
      <c r="K81" s="6"/>
    </row>
    <row r="82" spans="2:11" ht="48">
      <c r="B82" s="1448"/>
      <c r="C82" s="93"/>
      <c r="D82" s="26" t="s">
        <v>489</v>
      </c>
      <c r="E82" s="6"/>
      <c r="F82" s="6"/>
      <c r="G82" s="6"/>
      <c r="H82" s="6"/>
      <c r="I82" s="6"/>
      <c r="J82" s="6"/>
      <c r="K82" s="6"/>
    </row>
    <row r="83" spans="2:11" ht="36">
      <c r="B83" s="1448"/>
      <c r="C83" s="93"/>
      <c r="D83" s="26" t="s">
        <v>490</v>
      </c>
      <c r="E83" s="6"/>
      <c r="F83" s="6"/>
      <c r="G83" s="6"/>
      <c r="H83" s="6"/>
      <c r="I83" s="6"/>
      <c r="J83" s="6"/>
      <c r="K83" s="6"/>
    </row>
    <row r="84" spans="2:11" ht="96">
      <c r="B84" s="1448"/>
      <c r="C84" s="93"/>
      <c r="D84" s="46" t="s">
        <v>491</v>
      </c>
      <c r="E84" s="6"/>
      <c r="F84" s="6"/>
      <c r="G84" s="6"/>
      <c r="H84" s="6"/>
      <c r="I84" s="6"/>
      <c r="J84" s="6"/>
      <c r="K84" s="6"/>
    </row>
    <row r="85" spans="2:11" ht="48">
      <c r="B85" s="1448"/>
      <c r="C85" s="93"/>
      <c r="D85" s="46" t="s">
        <v>492</v>
      </c>
      <c r="E85" s="6"/>
      <c r="F85" s="6"/>
      <c r="G85" s="6"/>
      <c r="H85" s="6"/>
      <c r="I85" s="6"/>
      <c r="J85" s="6"/>
      <c r="K85" s="6"/>
    </row>
    <row r="86" spans="2:11" ht="36">
      <c r="B86" s="1448"/>
      <c r="C86" s="93"/>
      <c r="D86" s="46" t="s">
        <v>493</v>
      </c>
      <c r="E86" s="6"/>
      <c r="F86" s="6"/>
      <c r="G86" s="6"/>
      <c r="H86" s="6"/>
      <c r="I86" s="6"/>
      <c r="J86" s="6"/>
      <c r="K86" s="6"/>
    </row>
    <row r="87" spans="2:11" ht="36">
      <c r="B87" s="1448"/>
      <c r="C87" s="93"/>
      <c r="D87" s="46" t="s">
        <v>494</v>
      </c>
      <c r="E87" s="6"/>
      <c r="F87" s="6"/>
      <c r="G87" s="6"/>
      <c r="H87" s="6"/>
      <c r="I87" s="6"/>
      <c r="J87" s="6"/>
      <c r="K87" s="6"/>
    </row>
    <row r="88" spans="2:11" ht="96.75" thickBot="1">
      <c r="B88" s="1449"/>
      <c r="C88" s="3"/>
      <c r="D88" s="40" t="s">
        <v>495</v>
      </c>
      <c r="E88" s="6"/>
      <c r="F88" s="6"/>
      <c r="G88" s="6"/>
      <c r="H88" s="6"/>
      <c r="I88" s="6"/>
      <c r="J88" s="6"/>
      <c r="K88" s="6"/>
    </row>
    <row r="89" spans="2:11" ht="24">
      <c r="B89" s="1447" t="s">
        <v>90</v>
      </c>
      <c r="C89" s="93"/>
      <c r="D89" s="53" t="s">
        <v>496</v>
      </c>
      <c r="E89" s="6"/>
      <c r="F89" s="6"/>
      <c r="G89" s="6"/>
      <c r="H89" s="6"/>
      <c r="I89" s="6"/>
      <c r="J89" s="6"/>
      <c r="K89" s="6"/>
    </row>
    <row r="90" spans="2:11">
      <c r="B90" s="1448"/>
      <c r="C90" s="93"/>
      <c r="D90" s="46" t="s">
        <v>497</v>
      </c>
      <c r="E90" s="6"/>
      <c r="F90" s="6"/>
      <c r="G90" s="6"/>
      <c r="H90" s="6"/>
      <c r="I90" s="6"/>
      <c r="J90" s="6"/>
      <c r="K90" s="6"/>
    </row>
    <row r="91" spans="2:11">
      <c r="B91" s="1448"/>
      <c r="C91" s="93"/>
      <c r="D91" s="46" t="s">
        <v>91</v>
      </c>
      <c r="E91" s="6"/>
      <c r="F91" s="6"/>
      <c r="G91" s="6"/>
      <c r="H91" s="6"/>
      <c r="I91" s="6"/>
      <c r="J91" s="6"/>
      <c r="K91" s="6"/>
    </row>
    <row r="92" spans="2:11" ht="49.5">
      <c r="B92" s="1448"/>
      <c r="C92" s="93"/>
      <c r="D92" s="46" t="s">
        <v>498</v>
      </c>
      <c r="E92" s="6"/>
      <c r="F92" s="6"/>
      <c r="G92" s="6"/>
      <c r="H92" s="6"/>
      <c r="I92" s="6"/>
      <c r="J92" s="6"/>
      <c r="K92" s="6"/>
    </row>
    <row r="93" spans="2:11" ht="49.5">
      <c r="B93" s="1448"/>
      <c r="C93" s="93"/>
      <c r="D93" s="46" t="s">
        <v>499</v>
      </c>
      <c r="E93" s="6"/>
      <c r="F93" s="6"/>
      <c r="G93" s="6"/>
      <c r="H93" s="6"/>
      <c r="I93" s="6"/>
      <c r="J93" s="6"/>
      <c r="K93" s="6"/>
    </row>
    <row r="94" spans="2:11" ht="49.5">
      <c r="B94" s="1448"/>
      <c r="C94" s="93"/>
      <c r="D94" s="46" t="s">
        <v>500</v>
      </c>
      <c r="E94" s="6"/>
      <c r="F94" s="6"/>
      <c r="G94" s="6"/>
      <c r="H94" s="6"/>
      <c r="I94" s="6"/>
      <c r="J94" s="6"/>
      <c r="K94" s="6"/>
    </row>
    <row r="95" spans="2:11">
      <c r="B95" s="1448"/>
      <c r="C95" s="93"/>
      <c r="D95" s="53" t="s">
        <v>246</v>
      </c>
      <c r="E95" s="6"/>
      <c r="F95" s="6"/>
      <c r="G95" s="6"/>
      <c r="H95" s="6"/>
      <c r="I95" s="6"/>
      <c r="J95" s="6"/>
      <c r="K95" s="6"/>
    </row>
    <row r="96" spans="2:11" ht="36">
      <c r="B96" s="1448"/>
      <c r="C96" s="93"/>
      <c r="D96" s="53" t="s">
        <v>501</v>
      </c>
      <c r="E96" s="6"/>
      <c r="F96" s="6"/>
      <c r="G96" s="6"/>
      <c r="H96" s="6"/>
      <c r="I96" s="6"/>
      <c r="J96" s="6"/>
      <c r="K96" s="6"/>
    </row>
    <row r="97" spans="2:11">
      <c r="B97" s="1448"/>
      <c r="C97" s="93"/>
      <c r="D97" s="17"/>
      <c r="E97" s="6"/>
      <c r="F97" s="6"/>
      <c r="G97" s="6"/>
      <c r="H97" s="6"/>
      <c r="I97" s="6"/>
      <c r="J97" s="6"/>
      <c r="K97" s="6"/>
    </row>
    <row r="98" spans="2:11">
      <c r="B98" s="1448"/>
      <c r="C98" s="93"/>
      <c r="D98" s="46" t="s">
        <v>91</v>
      </c>
      <c r="E98" s="6"/>
      <c r="F98" s="6"/>
      <c r="G98" s="6"/>
      <c r="H98" s="6"/>
      <c r="I98" s="6"/>
      <c r="J98" s="6"/>
      <c r="K98" s="6"/>
    </row>
    <row r="99" spans="2:11" ht="49.5">
      <c r="B99" s="1448"/>
      <c r="C99" s="93"/>
      <c r="D99" s="46" t="s">
        <v>502</v>
      </c>
      <c r="E99" s="6"/>
      <c r="F99" s="6"/>
      <c r="G99" s="6"/>
      <c r="H99" s="6"/>
      <c r="I99" s="6"/>
      <c r="J99" s="6"/>
      <c r="K99" s="6"/>
    </row>
    <row r="100" spans="2:11" ht="50.25" thickBot="1">
      <c r="B100" s="1449"/>
      <c r="C100" s="3"/>
      <c r="D100" s="40" t="s">
        <v>503</v>
      </c>
      <c r="E100" s="6"/>
      <c r="F100" s="6"/>
      <c r="G100" s="6"/>
      <c r="H100" s="6"/>
      <c r="I100" s="6"/>
      <c r="J100" s="6"/>
      <c r="K100" s="6"/>
    </row>
    <row r="101" spans="2:11">
      <c r="B101" s="6"/>
      <c r="D101" s="6"/>
      <c r="E101" s="6"/>
      <c r="F101" s="6"/>
      <c r="G101" s="6"/>
      <c r="H101" s="6"/>
      <c r="I101" s="6"/>
      <c r="J101" s="6"/>
      <c r="K101" s="6"/>
    </row>
    <row r="102" spans="2:11">
      <c r="B102" s="6"/>
      <c r="D102" s="6"/>
      <c r="E102" s="6"/>
      <c r="F102" s="6"/>
      <c r="G102" s="6"/>
      <c r="H102" s="6"/>
      <c r="I102" s="6"/>
      <c r="J102" s="6"/>
      <c r="K102" s="6"/>
    </row>
    <row r="103" spans="2:11">
      <c r="B103" s="6"/>
      <c r="D103" s="6"/>
      <c r="E103" s="6"/>
      <c r="F103" s="6"/>
      <c r="G103" s="6"/>
      <c r="H103" s="6"/>
      <c r="I103" s="6"/>
      <c r="J103" s="6"/>
      <c r="K103" s="6"/>
    </row>
    <row r="104" spans="2:11">
      <c r="B104" s="6"/>
      <c r="D104" s="6"/>
      <c r="E104" s="6"/>
      <c r="F104" s="6"/>
      <c r="G104" s="6"/>
      <c r="H104" s="6"/>
      <c r="I104" s="6"/>
      <c r="J104" s="6"/>
      <c r="K104" s="6"/>
    </row>
    <row r="105" spans="2:11">
      <c r="B105" s="6"/>
      <c r="D105" s="6"/>
      <c r="E105" s="6"/>
      <c r="F105" s="6"/>
      <c r="G105" s="6"/>
      <c r="H105" s="6"/>
      <c r="I105" s="6"/>
      <c r="J105" s="6"/>
      <c r="K105" s="6"/>
    </row>
    <row r="106" spans="2:11">
      <c r="B106" s="6"/>
      <c r="D106" s="6"/>
      <c r="E106" s="6"/>
      <c r="F106" s="6"/>
      <c r="G106" s="6"/>
      <c r="H106" s="6"/>
      <c r="I106" s="6"/>
      <c r="J106" s="6"/>
      <c r="K106" s="6"/>
    </row>
    <row r="107" spans="2:11">
      <c r="B107" s="6"/>
      <c r="D107" s="6"/>
      <c r="E107" s="6"/>
      <c r="F107" s="6"/>
      <c r="G107" s="6"/>
      <c r="H107" s="6"/>
      <c r="I107" s="6"/>
      <c r="J107" s="6"/>
      <c r="K107" s="6"/>
    </row>
    <row r="108" spans="2:11">
      <c r="B108" s="6"/>
      <c r="D108" s="6"/>
      <c r="E108" s="6"/>
      <c r="F108" s="6"/>
      <c r="G108" s="6"/>
      <c r="H108" s="6"/>
      <c r="I108" s="6"/>
      <c r="J108" s="6"/>
      <c r="K108" s="6"/>
    </row>
    <row r="109" spans="2:11">
      <c r="B109" s="6"/>
      <c r="D109" s="6"/>
      <c r="E109" s="6"/>
      <c r="F109" s="6"/>
      <c r="G109" s="6"/>
      <c r="H109" s="6"/>
      <c r="I109" s="6"/>
      <c r="J109" s="6"/>
      <c r="K109" s="6"/>
    </row>
    <row r="110" spans="2:11">
      <c r="B110" s="6"/>
      <c r="D110" s="6"/>
      <c r="E110" s="6"/>
      <c r="F110" s="6"/>
      <c r="G110" s="6"/>
      <c r="H110" s="6"/>
      <c r="I110" s="6"/>
      <c r="J110" s="6"/>
      <c r="K110" s="6"/>
    </row>
    <row r="111" spans="2:11">
      <c r="B111" s="6"/>
      <c r="D111" s="6"/>
      <c r="E111" s="6"/>
      <c r="F111" s="6"/>
      <c r="G111" s="6"/>
      <c r="H111" s="6"/>
      <c r="I111" s="6"/>
      <c r="J111" s="6"/>
      <c r="K111" s="6"/>
    </row>
    <row r="112" spans="2:11">
      <c r="B112" s="6"/>
      <c r="D112" s="6"/>
      <c r="E112" s="6"/>
      <c r="F112" s="6"/>
      <c r="G112" s="6"/>
      <c r="H112" s="6"/>
      <c r="I112" s="6"/>
      <c r="J112" s="6"/>
      <c r="K112" s="6"/>
    </row>
    <row r="113" spans="2:11">
      <c r="B113" s="6"/>
      <c r="D113" s="6"/>
      <c r="E113" s="6"/>
      <c r="F113" s="6"/>
      <c r="G113" s="6"/>
      <c r="H113" s="6"/>
      <c r="I113" s="6"/>
      <c r="J113" s="6"/>
      <c r="K113" s="6"/>
    </row>
    <row r="114" spans="2:11">
      <c r="B114" s="6"/>
      <c r="D114" s="6"/>
      <c r="E114" s="6"/>
      <c r="F114" s="6"/>
      <c r="G114" s="6"/>
      <c r="H114" s="6"/>
      <c r="I114" s="6"/>
      <c r="J114" s="6"/>
      <c r="K114" s="6"/>
    </row>
    <row r="115" spans="2:11">
      <c r="B115" s="6"/>
      <c r="D115" s="6"/>
      <c r="E115" s="6"/>
      <c r="F115" s="6"/>
      <c r="G115" s="6"/>
      <c r="H115" s="6"/>
      <c r="I115" s="6"/>
      <c r="J115" s="6"/>
      <c r="K115" s="6"/>
    </row>
    <row r="116" spans="2:11">
      <c r="B116" s="6"/>
      <c r="D116" s="6"/>
      <c r="E116" s="6"/>
      <c r="F116" s="6"/>
      <c r="G116" s="6"/>
      <c r="H116" s="6"/>
      <c r="I116" s="6"/>
      <c r="J116" s="6"/>
      <c r="K116" s="6"/>
    </row>
    <row r="117" spans="2:11">
      <c r="B117" s="6"/>
      <c r="D117" s="6"/>
      <c r="E117" s="6"/>
      <c r="F117" s="6"/>
      <c r="G117" s="6"/>
      <c r="H117" s="6"/>
      <c r="I117" s="6"/>
      <c r="J117" s="6"/>
      <c r="K117" s="6"/>
    </row>
    <row r="118" spans="2:11">
      <c r="B118" s="6"/>
      <c r="D118" s="6"/>
      <c r="E118" s="6"/>
      <c r="F118" s="6"/>
      <c r="G118" s="6"/>
      <c r="H118" s="6"/>
      <c r="I118" s="6"/>
      <c r="J118" s="6"/>
      <c r="K118" s="6"/>
    </row>
    <row r="119" spans="2:11">
      <c r="B119" s="6"/>
      <c r="D119" s="6"/>
      <c r="E119" s="6"/>
      <c r="F119" s="6"/>
      <c r="G119" s="6"/>
      <c r="H119" s="6"/>
      <c r="I119" s="6"/>
      <c r="J119" s="6"/>
      <c r="K119" s="6"/>
    </row>
    <row r="120" spans="2:11">
      <c r="B120" s="6"/>
      <c r="D120" s="6"/>
      <c r="E120" s="6"/>
      <c r="F120" s="6"/>
      <c r="G120" s="6"/>
      <c r="H120" s="6"/>
      <c r="I120" s="6"/>
      <c r="J120" s="6"/>
      <c r="K120" s="6"/>
    </row>
    <row r="121" spans="2:11">
      <c r="B121" s="6"/>
      <c r="D121" s="6"/>
      <c r="E121" s="6"/>
      <c r="F121" s="6"/>
      <c r="G121" s="6"/>
      <c r="H121" s="6"/>
      <c r="I121" s="6"/>
      <c r="J121" s="6"/>
      <c r="K121" s="6"/>
    </row>
    <row r="122" spans="2:11">
      <c r="B122" s="6"/>
      <c r="D122" s="6"/>
      <c r="E122" s="6"/>
      <c r="F122" s="6"/>
      <c r="G122" s="6"/>
      <c r="H122" s="6"/>
      <c r="I122" s="6"/>
      <c r="J122" s="6"/>
      <c r="K122" s="6"/>
    </row>
    <row r="123" spans="2:11">
      <c r="B123" s="6"/>
      <c r="D123" s="6"/>
      <c r="E123" s="6"/>
      <c r="F123" s="6"/>
      <c r="G123" s="6"/>
      <c r="H123" s="6"/>
      <c r="I123" s="6"/>
      <c r="J123" s="6"/>
      <c r="K123" s="6"/>
    </row>
    <row r="124" spans="2:11">
      <c r="B124" s="6"/>
      <c r="D124" s="6"/>
      <c r="E124" s="6"/>
      <c r="F124" s="6"/>
      <c r="G124" s="6"/>
      <c r="H124" s="6"/>
      <c r="I124" s="6"/>
      <c r="J124" s="6"/>
      <c r="K124" s="6"/>
    </row>
    <row r="125" spans="2:11">
      <c r="B125" s="6"/>
      <c r="D125" s="6"/>
      <c r="E125" s="6"/>
      <c r="F125" s="6"/>
      <c r="G125" s="6"/>
      <c r="H125" s="6"/>
      <c r="I125" s="6"/>
      <c r="J125" s="6"/>
      <c r="K125" s="6"/>
    </row>
    <row r="126" spans="2:11">
      <c r="B126" s="6"/>
      <c r="D126" s="6"/>
      <c r="E126" s="6"/>
      <c r="F126" s="6"/>
      <c r="G126" s="6"/>
      <c r="H126" s="6"/>
      <c r="I126" s="6"/>
      <c r="J126" s="6"/>
      <c r="K126" s="6"/>
    </row>
    <row r="127" spans="2:11">
      <c r="B127" s="6"/>
      <c r="D127" s="6"/>
      <c r="E127" s="6"/>
      <c r="F127" s="6"/>
      <c r="G127" s="6"/>
      <c r="H127" s="6"/>
      <c r="I127" s="6"/>
      <c r="J127" s="6"/>
      <c r="K127" s="6"/>
    </row>
    <row r="128" spans="2:11">
      <c r="B128" s="6"/>
      <c r="D128" s="6"/>
      <c r="E128" s="6"/>
      <c r="F128" s="6"/>
      <c r="G128" s="6"/>
      <c r="H128" s="6"/>
      <c r="I128" s="6"/>
      <c r="J128" s="6"/>
      <c r="K128" s="6"/>
    </row>
    <row r="129" spans="2:11">
      <c r="B129" s="6"/>
      <c r="D129" s="6"/>
      <c r="E129" s="6"/>
      <c r="F129" s="6"/>
      <c r="G129" s="6"/>
      <c r="H129" s="6"/>
      <c r="I129" s="6"/>
      <c r="J129" s="6"/>
      <c r="K129" s="6"/>
    </row>
    <row r="130" spans="2:11">
      <c r="B130" s="6"/>
      <c r="D130" s="6"/>
      <c r="E130" s="6"/>
      <c r="F130" s="6"/>
      <c r="G130" s="6"/>
      <c r="H130" s="6"/>
      <c r="I130" s="6"/>
      <c r="J130" s="6"/>
      <c r="K130" s="6"/>
    </row>
    <row r="131" spans="2:11">
      <c r="B131" s="6"/>
      <c r="D131" s="6"/>
      <c r="E131" s="6"/>
      <c r="F131" s="6"/>
      <c r="G131" s="6"/>
      <c r="H131" s="6"/>
      <c r="I131" s="6"/>
      <c r="J131" s="6"/>
      <c r="K131" s="6"/>
    </row>
    <row r="132" spans="2:11">
      <c r="B132" s="6"/>
      <c r="D132" s="6"/>
      <c r="E132" s="6"/>
      <c r="F132" s="6"/>
      <c r="G132" s="6"/>
      <c r="H132" s="6"/>
      <c r="I132" s="6"/>
      <c r="J132" s="6"/>
      <c r="K132" s="6"/>
    </row>
    <row r="133" spans="2:11">
      <c r="B133" s="6"/>
      <c r="D133" s="6"/>
      <c r="E133" s="6"/>
      <c r="F133" s="6"/>
      <c r="G133" s="6"/>
      <c r="H133" s="6"/>
      <c r="I133" s="6"/>
      <c r="J133" s="6"/>
      <c r="K133" s="6"/>
    </row>
    <row r="134" spans="2:11">
      <c r="B134" s="6"/>
      <c r="D134" s="6"/>
      <c r="E134" s="6"/>
      <c r="F134" s="6"/>
      <c r="G134" s="6"/>
      <c r="H134" s="6"/>
      <c r="I134" s="6"/>
      <c r="J134" s="6"/>
      <c r="K134" s="6"/>
    </row>
    <row r="135" spans="2:11">
      <c r="B135" s="6"/>
      <c r="D135" s="6"/>
      <c r="E135" s="6"/>
      <c r="F135" s="6"/>
      <c r="G135" s="6"/>
      <c r="H135" s="6"/>
      <c r="I135" s="6"/>
      <c r="J135" s="6"/>
      <c r="K135" s="6"/>
    </row>
    <row r="136" spans="2:11">
      <c r="B136" s="6"/>
      <c r="D136" s="6"/>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sheetData>
  <mergeCells count="53">
    <mergeCell ref="D31:D32"/>
    <mergeCell ref="A1:P1"/>
    <mergeCell ref="A2:P2"/>
    <mergeCell ref="A3:P3"/>
    <mergeCell ref="A4:D4"/>
    <mergeCell ref="A5:P5"/>
    <mergeCell ref="D36:P36"/>
    <mergeCell ref="B38:E38"/>
    <mergeCell ref="D27:P27"/>
    <mergeCell ref="D28:P28"/>
    <mergeCell ref="C29:C30"/>
    <mergeCell ref="D29:D30"/>
    <mergeCell ref="L31:L32"/>
    <mergeCell ref="E29:E30"/>
    <mergeCell ref="F29:F30"/>
    <mergeCell ref="G29:G30"/>
    <mergeCell ref="J29:J30"/>
    <mergeCell ref="L29:L30"/>
    <mergeCell ref="H31:H32"/>
    <mergeCell ref="I31:I32"/>
    <mergeCell ref="J31:J32"/>
    <mergeCell ref="K31:K32"/>
    <mergeCell ref="B69:B77"/>
    <mergeCell ref="B79:B88"/>
    <mergeCell ref="B64:G64"/>
    <mergeCell ref="B39:B45"/>
    <mergeCell ref="B47:E47"/>
    <mergeCell ref="B48:B54"/>
    <mergeCell ref="B89:B100"/>
    <mergeCell ref="D16:D18"/>
    <mergeCell ref="E16:J16"/>
    <mergeCell ref="E17:G17"/>
    <mergeCell ref="H17:J17"/>
    <mergeCell ref="B15:B34"/>
    <mergeCell ref="D15:P15"/>
    <mergeCell ref="D23:P23"/>
    <mergeCell ref="D24:P24"/>
    <mergeCell ref="D25:P25"/>
    <mergeCell ref="D26:P26"/>
    <mergeCell ref="K16:P16"/>
    <mergeCell ref="B57:F57"/>
    <mergeCell ref="D35:P35"/>
    <mergeCell ref="B62:G62"/>
    <mergeCell ref="B63:G63"/>
    <mergeCell ref="Q15:Q18"/>
    <mergeCell ref="K17:M17"/>
    <mergeCell ref="N17:P17"/>
    <mergeCell ref="K29:K30"/>
    <mergeCell ref="B10:D10"/>
    <mergeCell ref="F10:R10"/>
    <mergeCell ref="F11:R11"/>
    <mergeCell ref="E12:R12"/>
    <mergeCell ref="E13:R13"/>
  </mergeCells>
  <conditionalFormatting sqref="F11:R11">
    <cfRule type="expression" dxfId="90" priority="4">
      <formula>E11="NO SE REPORTA"</formula>
    </cfRule>
    <cfRule type="expression" dxfId="89" priority="5">
      <formula>E10="NO APLICA"</formula>
    </cfRule>
  </conditionalFormatting>
  <conditionalFormatting sqref="E12:R12">
    <cfRule type="expression" dxfId="88" priority="3">
      <formula>E11="SI SE REPORTA"</formula>
    </cfRule>
  </conditionalFormatting>
  <conditionalFormatting sqref="F10:R10">
    <cfRule type="expression" dxfId="87" priority="1">
      <formula>E10="NO SE REPORTA"</formula>
    </cfRule>
    <cfRule type="expression" dxfId="86" priority="2">
      <formula>E9="NO APLICA"</formula>
    </cfRule>
  </conditionalFormatting>
  <dataValidations count="4">
    <dataValidation type="whole" operator="greaterThanOrEqual" allowBlank="1" showErrorMessage="1" errorTitle="ERROR" error="Escriba un número igual o mayor que 0" promptTitle="ERROR" prompt="Escriba un número igual o mayor que 0" sqref="E19:P21">
      <formula1>0</formula1>
    </dataValidation>
    <dataValidation type="whole" operator="greaterThanOrEqual" allowBlank="1" showInputMessage="1" showErrorMessage="1" errorTitle="ERROR" error="Valor en PESOS (sin centavos)" sqref="H33:K33 H31:K31">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topLeftCell="A3" workbookViewId="0">
      <selection sqref="A1:XFD1048576"/>
    </sheetView>
  </sheetViews>
  <sheetFormatPr baseColWidth="10" defaultRowHeight="12.75"/>
  <cols>
    <col min="1" max="16384" width="11.42578125" style="515"/>
  </cols>
  <sheetData>
    <row r="1" spans="1:2">
      <c r="A1" s="515" t="s">
        <v>1317</v>
      </c>
      <c r="B1" s="516" t="s">
        <v>1145</v>
      </c>
    </row>
    <row r="2" spans="1:2">
      <c r="A2" s="515" t="s">
        <v>1318</v>
      </c>
      <c r="B2" s="516" t="s">
        <v>131</v>
      </c>
    </row>
    <row r="3" spans="1:2">
      <c r="A3" s="515" t="s">
        <v>1319</v>
      </c>
      <c r="B3" s="516" t="s">
        <v>162</v>
      </c>
    </row>
    <row r="4" spans="1:2">
      <c r="A4" s="515" t="s">
        <v>1320</v>
      </c>
      <c r="B4" s="516" t="s">
        <v>183</v>
      </c>
    </row>
    <row r="5" spans="1:2">
      <c r="A5" s="515" t="s">
        <v>1321</v>
      </c>
      <c r="B5" s="516" t="s">
        <v>200</v>
      </c>
    </row>
    <row r="6" spans="1:2">
      <c r="A6" s="515" t="s">
        <v>1322</v>
      </c>
      <c r="B6" s="516" t="s">
        <v>220</v>
      </c>
    </row>
    <row r="7" spans="1:2">
      <c r="A7" s="515" t="s">
        <v>1323</v>
      </c>
      <c r="B7" s="516" t="s">
        <v>280</v>
      </c>
    </row>
    <row r="8" spans="1:2">
      <c r="A8" s="515" t="s">
        <v>1324</v>
      </c>
      <c r="B8" s="516" t="s">
        <v>314</v>
      </c>
    </row>
    <row r="9" spans="1:2">
      <c r="A9" s="515" t="s">
        <v>1325</v>
      </c>
      <c r="B9" s="516" t="s">
        <v>348</v>
      </c>
    </row>
    <row r="10" spans="1:2">
      <c r="A10" s="515" t="s">
        <v>1326</v>
      </c>
      <c r="B10" s="516" t="s">
        <v>396</v>
      </c>
    </row>
    <row r="11" spans="1:2">
      <c r="B11" s="516" t="s">
        <v>418</v>
      </c>
    </row>
    <row r="12" spans="1:2">
      <c r="B12" s="516" t="s">
        <v>449</v>
      </c>
    </row>
    <row r="13" spans="1:2">
      <c r="B13" s="516" t="s">
        <v>480</v>
      </c>
    </row>
    <row r="14" spans="1:2">
      <c r="B14" s="516" t="s">
        <v>526</v>
      </c>
    </row>
    <row r="15" spans="1:2">
      <c r="B15" s="516" t="s">
        <v>557</v>
      </c>
    </row>
    <row r="16" spans="1:2">
      <c r="B16" s="516" t="s">
        <v>585</v>
      </c>
    </row>
    <row r="17" spans="2:2">
      <c r="B17" s="516" t="s">
        <v>634</v>
      </c>
    </row>
    <row r="18" spans="2:2">
      <c r="B18" s="516" t="s">
        <v>655</v>
      </c>
    </row>
    <row r="19" spans="2:2">
      <c r="B19" s="516" t="s">
        <v>702</v>
      </c>
    </row>
    <row r="20" spans="2:2">
      <c r="B20" s="516" t="s">
        <v>772</v>
      </c>
    </row>
    <row r="21" spans="2:2">
      <c r="B21" s="516" t="s">
        <v>832</v>
      </c>
    </row>
    <row r="22" spans="2:2">
      <c r="B22" s="516" t="s">
        <v>879</v>
      </c>
    </row>
    <row r="23" spans="2:2">
      <c r="B23" s="516" t="s">
        <v>943</v>
      </c>
    </row>
    <row r="24" spans="2:2">
      <c r="B24" s="516" t="s">
        <v>964</v>
      </c>
    </row>
    <row r="25" spans="2:2">
      <c r="B25" s="516" t="s">
        <v>993</v>
      </c>
    </row>
    <row r="26" spans="2:2">
      <c r="B26" s="516" t="s">
        <v>1063</v>
      </c>
    </row>
    <row r="27" spans="2:2">
      <c r="B27" s="516" t="s">
        <v>1110</v>
      </c>
    </row>
    <row r="28" spans="2:2">
      <c r="B28" s="515" t="s">
        <v>1326</v>
      </c>
    </row>
  </sheetData>
  <hyperlinks>
    <hyperlink ref="B1" location="'1POMCAS'!A1" display="Porcentaje de avance en la formulación y/o ajuste de los Planes de Ordenación y Manejo de Cuencas (POMCAS), Planes de Manejo de Acuíferos (PMA) y Planes de Manejo de Microcuencas (PMM)"/>
    <hyperlink ref="B2" location="'2PORH'!A1" display="Porcentaje de cuerpos de agua con planes de ordenamiento del recurso hídrico (PORH) adoptados"/>
    <hyperlink ref="B3" location="'3PSMV'!_Toc467769470" display="Porcentaje de Planes de Saneamiento y Manejo de Vertimientos (PSMV) con seguimiento"/>
    <hyperlink ref="B4" location="'4UsoAguas'!_Toc467769471" display="Porcentaje de cuerpos de agua con reglamentación del uso de las aguas"/>
    <hyperlink ref="B5" location="'5PUEAA'!_Toc467769472" display="Porcentaje de Programas de Uso Eficiente y Ahorro del Agua (PUEAA) con seguimiento"/>
    <hyperlink ref="B6" location="'6POMCASejec'!_Toc467769473" display="Porcentaje de Planes de Ordenación y Manejo de Cuencas (POMCAS), Planes de Manejo de Acuíferos (PMA) y Planes de Manejo de Microcuencas (PMM) en ejecución"/>
    <hyperlink ref="B7" location="'7Clima'!_Toc467769474" display="Porcentaje de entes territoriales asesorados en la incorporación, planificación y ejecución de acciones relacionadas con cambio climático en el marco de los instrumentos de planificación territorial"/>
    <hyperlink ref="B8" location="'8Suelo'!_Toc467769475" display="Porcentaje de suelos degradados en recuperación o rehabilitación"/>
    <hyperlink ref="B9" location="'9RUNAP'!_Toc467769476" display="Porcentaje de la superficie de áreas protegidas regionales declaradas, homologadas o recategorizadas, inscritas en el RUNAP"/>
    <hyperlink ref="B10" location="'10Paramos'!_Toc467769477" display="Porcentaje de páramos delimitados por el MADS, con zonificación y régimen de usos adoptados por la CAR"/>
    <hyperlink ref="B11" location="'11Forest'!_Toc467769478" display="Porcentaje de avance en la formulación del Plan de Ordenación Forestal"/>
    <hyperlink ref="B12" location="'12PlanesAP'!_Toc467769479" display="Porcentaje de áreas protegidas con planes de manejo en ejecución"/>
    <hyperlink ref="B13" location="'13Amenaz'!_Toc467769480" display="Porcentaje de especies amenazadas con medidas de conservación y manejo en ejecución"/>
    <hyperlink ref="B14" location="'14Invasor'!_Toc467769481" display="Porcentaje de especies invasoras con medidas de prevención, control y manejo en ejecución"/>
    <hyperlink ref="B15" location="'15Restaura'!_Toc467769482" display="Porcentaje de áreas de ecosistemas en restauración, rehabilitación y reforestación"/>
    <hyperlink ref="B16" location="'16MIZC'!_Toc467769483" display="Implementación de acciones en manejo integrado de zonas costeras"/>
    <hyperlink ref="B17" location="'17PGIRS'!_Toc467769484" display="Porcentaje de Planes de Gestión Integral de Residuos Sólidos (PGIRS) con seguimiento a metas de aprovechamiento"/>
    <hyperlink ref="B18" location="'18Sector'!_Toc467769485" display="Porcentaje de sectores con acompañamiento para la reconversión hacia sistemas sostenibles de producción"/>
    <hyperlink ref="B19" location="'19GAU'!_Toc467769486" display="Porcentaje de ejecución de acciones en Gestión Ambiental Urbana"/>
    <hyperlink ref="B20" location="'20Negoc'!_Toc467769487" display="Implementación del Programa Regional de Negocios Verdes por la autoridad ambiental"/>
    <hyperlink ref="B22" location="'22Autor'!_Toc467769489" display="Porcentaje de autorizaciones ambientales con seguimiento"/>
    <hyperlink ref="B23" location="'23Sanc'!_Toc467769490" display="Porcentaje de Procesos Sancionatorios Resueltos"/>
    <hyperlink ref="B24" location="'24POT'!_Toc467769491" display="Porcentaje de municipios asesorados o asistidos en la inclusión del componente ambiental en los procesos de planificación y ordenamiento territorial, con énfasis en la incorporación de las determinantes ambientales para la revisión y ajuste de los POT"/>
    <hyperlink ref="B25" location="'25Redes'!_Toc467769492" display="Porcentaje de redes y estaciones de monitoreo en operación"/>
    <hyperlink ref="B26" location="'26SIAC'!_Toc467769493" display="Porcentaje de actualización y reporte de la información en el SIAC"/>
    <hyperlink ref="B27" location="'27Educa'!_Toc467769494" display="Ejecución de Acciones en Educación Ambiental"/>
    <hyperlink ref="B21" location="'21TiempoT'!_Toc467769488" display="Tiempo promedio de trámite para la resolución de autorizaciones ambientales otorgadas por la corporación"/>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172"/>
  <sheetViews>
    <sheetView showGridLines="0" topLeftCell="A23" zoomScale="98" zoomScaleNormal="98" workbookViewId="0">
      <selection activeCell="O31" sqref="O31"/>
    </sheetView>
  </sheetViews>
  <sheetFormatPr baseColWidth="10" defaultRowHeight="15"/>
  <cols>
    <col min="1" max="1" width="1.85546875" customWidth="1"/>
    <col min="2" max="2" width="12.85546875" customWidth="1"/>
    <col min="3" max="3" width="5" style="86" bestFit="1" customWidth="1"/>
    <col min="4" max="4" width="34.85546875" customWidth="1"/>
    <col min="5" max="5" width="12.140625" customWidth="1"/>
  </cols>
  <sheetData>
    <row r="1" spans="1:20" s="490" customFormat="1" ht="100.5" customHeight="1" thickBot="1">
      <c r="A1" s="1334"/>
      <c r="B1" s="1335"/>
      <c r="C1" s="1335"/>
      <c r="D1" s="1335"/>
      <c r="E1" s="1335"/>
      <c r="F1" s="1335"/>
      <c r="G1" s="1335"/>
      <c r="H1" s="1335"/>
      <c r="I1" s="1335"/>
      <c r="J1" s="1335"/>
      <c r="K1" s="1335"/>
      <c r="L1" s="1335"/>
      <c r="M1" s="1335"/>
      <c r="N1" s="1335"/>
      <c r="O1" s="1335"/>
      <c r="P1" s="1336"/>
      <c r="Q1" s="389"/>
      <c r="R1" s="389"/>
    </row>
    <row r="2" spans="1:20" s="491" customFormat="1" ht="16.5" thickBot="1">
      <c r="A2" s="1342" t="str">
        <f>'Datos Generales'!C5</f>
        <v>Corporación Autónoma Regional del Cesar – CORPOCESAR</v>
      </c>
      <c r="B2" s="1343"/>
      <c r="C2" s="1343"/>
      <c r="D2" s="1343"/>
      <c r="E2" s="1343"/>
      <c r="F2" s="1343"/>
      <c r="G2" s="1343"/>
      <c r="H2" s="1343"/>
      <c r="I2" s="1343"/>
      <c r="J2" s="1343"/>
      <c r="K2" s="1343"/>
      <c r="L2" s="1343"/>
      <c r="M2" s="1343"/>
      <c r="N2" s="1343"/>
      <c r="O2" s="1343"/>
      <c r="P2" s="1344"/>
      <c r="Q2" s="389"/>
      <c r="R2" s="389"/>
    </row>
    <row r="3" spans="1:20" s="491" customFormat="1" ht="16.5" thickBot="1">
      <c r="A3" s="1337" t="s">
        <v>1294</v>
      </c>
      <c r="B3" s="1338"/>
      <c r="C3" s="1338"/>
      <c r="D3" s="1338"/>
      <c r="E3" s="1338"/>
      <c r="F3" s="1338"/>
      <c r="G3" s="1338"/>
      <c r="H3" s="1338"/>
      <c r="I3" s="1338"/>
      <c r="J3" s="1338"/>
      <c r="K3" s="1338"/>
      <c r="L3" s="1338"/>
      <c r="M3" s="1338"/>
      <c r="N3" s="1338"/>
      <c r="O3" s="1338"/>
      <c r="P3" s="1339"/>
      <c r="Q3" s="389"/>
      <c r="R3" s="389"/>
    </row>
    <row r="4" spans="1:20" s="491" customFormat="1" ht="16.5" thickBot="1">
      <c r="A4" s="1340" t="s">
        <v>1293</v>
      </c>
      <c r="B4" s="1341"/>
      <c r="C4" s="1341"/>
      <c r="D4" s="1341"/>
      <c r="E4" s="498">
        <v>2022</v>
      </c>
      <c r="F4" s="498"/>
      <c r="G4" s="498"/>
      <c r="H4" s="498"/>
      <c r="I4" s="498"/>
      <c r="J4" s="498"/>
      <c r="K4" s="498"/>
      <c r="L4" s="499"/>
      <c r="M4" s="499"/>
      <c r="N4" s="499"/>
      <c r="O4" s="499"/>
      <c r="P4" s="500"/>
      <c r="Q4" s="389"/>
      <c r="R4" s="389"/>
    </row>
    <row r="5" spans="1:20" s="235" customFormat="1" ht="16.5" customHeight="1" thickBot="1">
      <c r="A5" s="1337" t="s">
        <v>526</v>
      </c>
      <c r="B5" s="1338"/>
      <c r="C5" s="1338"/>
      <c r="D5" s="1338"/>
      <c r="E5" s="1338"/>
      <c r="F5" s="1338"/>
      <c r="G5" s="1338"/>
      <c r="H5" s="1338"/>
      <c r="I5" s="1338"/>
      <c r="J5" s="1338"/>
      <c r="K5" s="1338"/>
      <c r="L5" s="1338"/>
      <c r="M5" s="1338"/>
      <c r="N5" s="1338"/>
      <c r="O5" s="1338"/>
      <c r="P5" s="1339"/>
    </row>
    <row r="6" spans="1:20">
      <c r="B6" s="2" t="s">
        <v>1</v>
      </c>
      <c r="C6" s="75"/>
      <c r="D6" s="6"/>
      <c r="E6" s="73"/>
      <c r="F6" s="6" t="s">
        <v>128</v>
      </c>
      <c r="G6" s="6"/>
      <c r="H6" s="6"/>
      <c r="I6" s="6"/>
      <c r="J6" s="6"/>
      <c r="K6" s="6"/>
    </row>
    <row r="7" spans="1:20" ht="15.75" thickBot="1">
      <c r="B7" s="74"/>
      <c r="C7" s="76"/>
      <c r="D7" s="6"/>
      <c r="E7" s="18"/>
      <c r="F7" s="6" t="s">
        <v>129</v>
      </c>
      <c r="G7" s="6"/>
      <c r="H7" s="6"/>
      <c r="I7" s="6"/>
      <c r="J7" s="6"/>
      <c r="K7" s="6"/>
    </row>
    <row r="8" spans="1:20" ht="15.75" thickBot="1">
      <c r="B8" s="171" t="s">
        <v>1181</v>
      </c>
      <c r="C8" s="213">
        <v>2022</v>
      </c>
      <c r="D8" s="218">
        <f>IF(E10="NO APLICA","NO APLICA",IF(E11="NO SE REPORTA","SIN INFORMACION",+K21))</f>
        <v>1</v>
      </c>
      <c r="E8" s="214"/>
      <c r="F8" s="6" t="s">
        <v>130</v>
      </c>
      <c r="G8" s="6"/>
      <c r="H8" s="6"/>
      <c r="I8" s="6"/>
      <c r="J8" s="6"/>
      <c r="K8" s="6"/>
    </row>
    <row r="9" spans="1:20">
      <c r="B9" s="462" t="s">
        <v>1182</v>
      </c>
      <c r="C9" s="87"/>
      <c r="D9" s="6"/>
      <c r="E9" s="6"/>
      <c r="F9" s="6"/>
      <c r="G9" s="6"/>
      <c r="H9" s="6"/>
      <c r="I9" s="6"/>
      <c r="J9" s="6"/>
      <c r="K9" s="6"/>
    </row>
    <row r="10" spans="1:20" s="389" customFormat="1">
      <c r="A10" s="235"/>
      <c r="B10" s="1392" t="s">
        <v>1236</v>
      </c>
      <c r="C10" s="1392"/>
      <c r="D10" s="1392"/>
      <c r="E10" s="468" t="s">
        <v>1233</v>
      </c>
      <c r="F10" s="1398" t="str">
        <f>'13Amenaz'!F10</f>
        <v>Acuerdo 005 del 22 de mayo de 2020 (Por medio del cual se aprueba el Plan de Accion Institucional 2020 -2023)</v>
      </c>
      <c r="G10" s="1398"/>
      <c r="H10" s="1398"/>
      <c r="I10" s="1398"/>
      <c r="J10" s="1398"/>
      <c r="K10" s="1398"/>
      <c r="L10" s="1398"/>
      <c r="M10" s="1398"/>
      <c r="N10" s="1398"/>
      <c r="O10" s="1398"/>
      <c r="P10" s="1398"/>
      <c r="Q10" s="1398"/>
      <c r="R10" s="1398"/>
      <c r="S10" s="464"/>
      <c r="T10" s="464"/>
    </row>
    <row r="11" spans="1:20" s="389" customFormat="1" ht="14.45" customHeight="1">
      <c r="A11" s="235"/>
      <c r="B11" s="465"/>
      <c r="C11" s="466"/>
      <c r="D11" s="467" t="str">
        <f>IF(E10="SI APLICA","¿El indicador no se reporta por limitaciones de información disponible? ","")</f>
        <v xml:space="preserve">¿El indicador no se reporta por limitaciones de información disponible? </v>
      </c>
      <c r="E11" s="469" t="s">
        <v>1235</v>
      </c>
      <c r="F11" s="1398"/>
      <c r="G11" s="1398"/>
      <c r="H11" s="1398"/>
      <c r="I11" s="1398"/>
      <c r="J11" s="1398"/>
      <c r="K11" s="1398"/>
      <c r="L11" s="1398"/>
      <c r="M11" s="1398"/>
      <c r="N11" s="1398"/>
      <c r="O11" s="1398"/>
      <c r="P11" s="1398"/>
      <c r="Q11" s="1398"/>
      <c r="R11" s="1398"/>
    </row>
    <row r="12" spans="1:20" s="389" customFormat="1" ht="23.45" customHeight="1">
      <c r="A12" s="235"/>
      <c r="B12" s="462"/>
      <c r="C12" s="292"/>
      <c r="D12" s="467" t="str">
        <f>IF(E11="SI SE REPORTA","¿Qué programas o proyectos del Plan de Acción están asociados al indicador? ","")</f>
        <v xml:space="preserve">¿Qué programas o proyectos del Plan de Acción están asociados al indicador? </v>
      </c>
      <c r="E12" s="1430" t="s">
        <v>2113</v>
      </c>
      <c r="F12" s="1430"/>
      <c r="G12" s="1430"/>
      <c r="H12" s="1430"/>
      <c r="I12" s="1430"/>
      <c r="J12" s="1430"/>
      <c r="K12" s="1430"/>
      <c r="L12" s="1430"/>
      <c r="M12" s="1430"/>
      <c r="N12" s="1430"/>
      <c r="O12" s="1430"/>
      <c r="P12" s="1430"/>
      <c r="Q12" s="1430"/>
      <c r="R12" s="1430"/>
    </row>
    <row r="13" spans="1:20" s="389" customFormat="1" ht="21.95" customHeight="1">
      <c r="A13" s="235"/>
      <c r="B13" s="462"/>
      <c r="C13" s="292"/>
      <c r="D13" s="467" t="s">
        <v>1238</v>
      </c>
      <c r="E13" s="1395"/>
      <c r="F13" s="1396"/>
      <c r="G13" s="1396"/>
      <c r="H13" s="1396"/>
      <c r="I13" s="1396"/>
      <c r="J13" s="1396"/>
      <c r="K13" s="1396"/>
      <c r="L13" s="1396"/>
      <c r="M13" s="1396"/>
      <c r="N13" s="1396"/>
      <c r="O13" s="1396"/>
      <c r="P13" s="1396"/>
      <c r="Q13" s="1396"/>
      <c r="R13" s="1397"/>
    </row>
    <row r="14" spans="1:20" s="389" customFormat="1" ht="6.95" customHeight="1" thickBot="1">
      <c r="B14" s="462"/>
      <c r="C14" s="87"/>
      <c r="D14" s="6"/>
      <c r="E14" s="6"/>
      <c r="F14" s="6"/>
      <c r="G14" s="6"/>
      <c r="H14" s="6"/>
      <c r="I14" s="6"/>
      <c r="J14" s="6"/>
      <c r="K14" s="6"/>
    </row>
    <row r="15" spans="1:20" ht="15.75" thickBot="1">
      <c r="B15" s="1530" t="s">
        <v>2</v>
      </c>
      <c r="C15" s="101"/>
      <c r="D15" s="1458" t="s">
        <v>336</v>
      </c>
      <c r="E15" s="1459"/>
      <c r="F15" s="1459"/>
      <c r="G15" s="1459"/>
      <c r="H15" s="1459"/>
      <c r="I15" s="1459"/>
      <c r="J15" s="1459"/>
      <c r="K15" s="1459"/>
      <c r="L15" s="1514"/>
    </row>
    <row r="16" spans="1:20" ht="15.75" thickBot="1">
      <c r="B16" s="1531"/>
      <c r="C16" s="108"/>
      <c r="D16" s="1460"/>
      <c r="E16" s="1453" t="s">
        <v>546</v>
      </c>
      <c r="F16" s="1454"/>
      <c r="G16" s="1455"/>
      <c r="H16" s="1453" t="s">
        <v>547</v>
      </c>
      <c r="I16" s="1454"/>
      <c r="J16" s="1455"/>
      <c r="K16" s="1447" t="s">
        <v>466</v>
      </c>
      <c r="L16" s="14"/>
    </row>
    <row r="17" spans="2:12" ht="15.75" thickBot="1">
      <c r="B17" s="1531"/>
      <c r="C17" s="108"/>
      <c r="D17" s="1501"/>
      <c r="E17" s="65" t="s">
        <v>506</v>
      </c>
      <c r="F17" s="65" t="s">
        <v>507</v>
      </c>
      <c r="G17" s="65" t="s">
        <v>548</v>
      </c>
      <c r="H17" s="65" t="s">
        <v>506</v>
      </c>
      <c r="I17" s="65" t="s">
        <v>507</v>
      </c>
      <c r="J17" s="65" t="s">
        <v>548</v>
      </c>
      <c r="K17" s="1449"/>
      <c r="L17" s="14"/>
    </row>
    <row r="18" spans="2:12" ht="24.75" thickBot="1">
      <c r="B18" s="1531"/>
      <c r="C18" s="108"/>
      <c r="D18" s="40" t="s">
        <v>549</v>
      </c>
      <c r="E18" s="7"/>
      <c r="F18" s="7">
        <v>1</v>
      </c>
      <c r="G18" s="42">
        <v>1</v>
      </c>
      <c r="H18" s="7"/>
      <c r="I18" s="7"/>
      <c r="J18" s="42">
        <f>+H18+I18</f>
        <v>0</v>
      </c>
      <c r="K18" s="42">
        <f>+G18+J18</f>
        <v>1</v>
      </c>
      <c r="L18" s="14"/>
    </row>
    <row r="19" spans="2:12" ht="36.75" thickBot="1">
      <c r="B19" s="1531"/>
      <c r="C19" s="108"/>
      <c r="D19" s="40" t="s">
        <v>550</v>
      </c>
      <c r="E19" s="7"/>
      <c r="F19" s="7">
        <v>1</v>
      </c>
      <c r="G19" s="42">
        <v>1</v>
      </c>
      <c r="H19" s="7"/>
      <c r="I19" s="7"/>
      <c r="J19" s="42">
        <f>+H19+I19</f>
        <v>0</v>
      </c>
      <c r="K19" s="42">
        <f>+G19+J19</f>
        <v>1</v>
      </c>
      <c r="L19" s="14"/>
    </row>
    <row r="20" spans="2:12" ht="36.75" thickBot="1">
      <c r="B20" s="1531"/>
      <c r="C20" s="108"/>
      <c r="D20" s="40" t="s">
        <v>551</v>
      </c>
      <c r="E20" s="7"/>
      <c r="F20" s="7">
        <v>1</v>
      </c>
      <c r="G20" s="42">
        <v>1</v>
      </c>
      <c r="H20" s="7"/>
      <c r="I20" s="7"/>
      <c r="J20" s="42">
        <f>+H20+I20</f>
        <v>0</v>
      </c>
      <c r="K20" s="42">
        <f>+G20+J20</f>
        <v>1</v>
      </c>
      <c r="L20" s="14"/>
    </row>
    <row r="21" spans="2:12" ht="36.75" thickBot="1">
      <c r="B21" s="1531"/>
      <c r="C21" s="108"/>
      <c r="D21" s="40" t="s">
        <v>526</v>
      </c>
      <c r="E21" s="189" t="str">
        <f>IFERROR(E20/E19,"N.A.")</f>
        <v>N.A.</v>
      </c>
      <c r="F21" s="189">
        <f t="shared" ref="F21:K21" si="0">IFERROR(F20/F19,"N.A.")</f>
        <v>1</v>
      </c>
      <c r="G21" s="189">
        <f t="shared" si="0"/>
        <v>1</v>
      </c>
      <c r="H21" s="189" t="str">
        <f t="shared" si="0"/>
        <v>N.A.</v>
      </c>
      <c r="I21" s="189" t="str">
        <f t="shared" si="0"/>
        <v>N.A.</v>
      </c>
      <c r="J21" s="141" t="str">
        <f t="shared" si="0"/>
        <v>N.A.</v>
      </c>
      <c r="K21" s="141">
        <f t="shared" si="0"/>
        <v>1</v>
      </c>
      <c r="L21" s="14"/>
    </row>
    <row r="22" spans="2:12">
      <c r="B22" s="1531"/>
      <c r="C22" s="102"/>
      <c r="D22" s="1464"/>
      <c r="E22" s="1465"/>
      <c r="F22" s="1465"/>
      <c r="G22" s="1465"/>
      <c r="H22" s="1465"/>
      <c r="I22" s="1465"/>
      <c r="J22" s="1465"/>
      <c r="K22" s="1465"/>
      <c r="L22" s="1515"/>
    </row>
    <row r="23" spans="2:12">
      <c r="B23" s="1531"/>
      <c r="C23" s="102"/>
      <c r="D23" s="1461" t="s">
        <v>246</v>
      </c>
      <c r="E23" s="1462"/>
      <c r="F23" s="1462"/>
      <c r="G23" s="1462"/>
      <c r="H23" s="1462"/>
      <c r="I23" s="1462"/>
      <c r="J23" s="1462"/>
      <c r="K23" s="1462"/>
      <c r="L23" s="1516"/>
    </row>
    <row r="24" spans="2:12">
      <c r="B24" s="1531"/>
      <c r="C24" s="102"/>
      <c r="D24" s="1461" t="s">
        <v>552</v>
      </c>
      <c r="E24" s="1462"/>
      <c r="F24" s="1462"/>
      <c r="G24" s="1462"/>
      <c r="H24" s="1462"/>
      <c r="I24" s="1462"/>
      <c r="J24" s="1462"/>
      <c r="K24" s="1462"/>
      <c r="L24" s="1516"/>
    </row>
    <row r="25" spans="2:12" ht="15.75" thickBot="1">
      <c r="B25" s="1531"/>
      <c r="C25" s="102"/>
      <c r="D25" s="1499" t="s">
        <v>340</v>
      </c>
      <c r="E25" s="1500"/>
      <c r="F25" s="1500"/>
      <c r="G25" s="1500"/>
      <c r="H25" s="1500"/>
      <c r="I25" s="1500"/>
      <c r="J25" s="1500"/>
      <c r="K25" s="1500"/>
      <c r="L25" s="1517"/>
    </row>
    <row r="26" spans="2:12" ht="21" customHeight="1">
      <c r="B26" s="1531"/>
      <c r="C26" s="1541" t="s">
        <v>19</v>
      </c>
      <c r="D26" s="1520" t="s">
        <v>270</v>
      </c>
      <c r="E26" s="1553" t="s">
        <v>518</v>
      </c>
      <c r="F26" s="1553" t="s">
        <v>519</v>
      </c>
      <c r="G26" s="1553" t="s">
        <v>520</v>
      </c>
      <c r="H26" s="204" t="s">
        <v>473</v>
      </c>
      <c r="I26" s="204" t="s">
        <v>475</v>
      </c>
      <c r="J26" s="1553" t="s">
        <v>274</v>
      </c>
      <c r="K26" s="1553" t="s">
        <v>275</v>
      </c>
      <c r="L26" s="1553" t="s">
        <v>55</v>
      </c>
    </row>
    <row r="27" spans="2:12" ht="15.75" thickBot="1">
      <c r="B27" s="1531"/>
      <c r="C27" s="1542"/>
      <c r="D27" s="1521"/>
      <c r="E27" s="1554"/>
      <c r="F27" s="1554"/>
      <c r="G27" s="1554"/>
      <c r="H27" s="1248" t="s">
        <v>474</v>
      </c>
      <c r="I27" s="1248" t="s">
        <v>476</v>
      </c>
      <c r="J27" s="1554"/>
      <c r="K27" s="1554"/>
      <c r="L27" s="1554"/>
    </row>
    <row r="28" spans="2:12" ht="48.75" customHeight="1" thickBot="1">
      <c r="B28" s="1531"/>
      <c r="C28" s="1245"/>
      <c r="D28" s="1247" t="s">
        <v>1779</v>
      </c>
      <c r="E28" s="1250" t="s">
        <v>1408</v>
      </c>
      <c r="F28" s="1250" t="s">
        <v>1409</v>
      </c>
      <c r="G28" s="1250" t="s">
        <v>1410</v>
      </c>
      <c r="H28" s="1251">
        <v>900000000</v>
      </c>
      <c r="I28" s="1251">
        <v>900000000</v>
      </c>
      <c r="J28" s="1251">
        <v>899103703.5</v>
      </c>
      <c r="K28" s="1251">
        <v>524739704</v>
      </c>
      <c r="L28" s="612"/>
    </row>
    <row r="29" spans="2:12" ht="15.75" thickBot="1">
      <c r="B29" s="1532"/>
      <c r="C29" s="1246"/>
      <c r="D29" s="1249"/>
      <c r="E29" s="39" t="s">
        <v>151</v>
      </c>
      <c r="F29" s="27"/>
      <c r="G29" s="27"/>
      <c r="H29" s="193"/>
      <c r="I29" s="193"/>
      <c r="J29" s="193"/>
      <c r="K29" s="193"/>
      <c r="L29" s="209"/>
    </row>
    <row r="30" spans="2:12" ht="36" customHeight="1" thickBot="1">
      <c r="B30" s="71" t="s">
        <v>34</v>
      </c>
      <c r="C30" s="107"/>
      <c r="D30" s="1499" t="s">
        <v>553</v>
      </c>
      <c r="E30" s="1454"/>
      <c r="F30" s="1454"/>
      <c r="G30" s="1454"/>
      <c r="H30" s="1454"/>
      <c r="I30" s="1454"/>
      <c r="J30" s="1454"/>
      <c r="K30" s="1454"/>
      <c r="L30" s="1518"/>
    </row>
    <row r="31" spans="2:12" ht="24" customHeight="1" thickBot="1">
      <c r="B31" s="71" t="s">
        <v>36</v>
      </c>
      <c r="C31" s="107"/>
      <c r="D31" s="1453" t="s">
        <v>554</v>
      </c>
      <c r="E31" s="1454"/>
      <c r="F31" s="1454"/>
      <c r="G31" s="1454"/>
      <c r="H31" s="1454"/>
      <c r="I31" s="1454"/>
      <c r="J31" s="1454"/>
      <c r="K31" s="1454"/>
      <c r="L31" s="1518"/>
    </row>
    <row r="32" spans="2:12" ht="15.75" thickBot="1">
      <c r="B32" s="2"/>
      <c r="C32" s="75"/>
      <c r="D32" s="6"/>
      <c r="E32" s="6"/>
      <c r="F32" s="6"/>
      <c r="G32" s="6"/>
      <c r="H32" s="6"/>
      <c r="I32" s="6"/>
      <c r="J32" s="6"/>
      <c r="K32" s="6"/>
    </row>
    <row r="33" spans="2:11" ht="24" customHeight="1" thickBot="1">
      <c r="B33" s="1450" t="s">
        <v>38</v>
      </c>
      <c r="C33" s="1451"/>
      <c r="D33" s="1451"/>
      <c r="E33" s="1452"/>
      <c r="F33" s="6"/>
      <c r="G33" s="6"/>
      <c r="H33" s="6"/>
      <c r="I33" s="6"/>
      <c r="J33" s="6"/>
      <c r="K33" s="6"/>
    </row>
    <row r="34" spans="2:11" ht="60.75" thickBot="1">
      <c r="B34" s="1447">
        <v>1</v>
      </c>
      <c r="C34" s="93"/>
      <c r="D34" s="48" t="s">
        <v>39</v>
      </c>
      <c r="E34" s="554" t="s">
        <v>1399</v>
      </c>
      <c r="F34" s="6"/>
      <c r="G34" s="6"/>
      <c r="H34" s="6"/>
      <c r="I34" s="6"/>
      <c r="J34" s="6"/>
      <c r="K34" s="6"/>
    </row>
    <row r="35" spans="2:11" ht="48.75" thickBot="1">
      <c r="B35" s="1448"/>
      <c r="C35" s="93"/>
      <c r="D35" s="40" t="s">
        <v>40</v>
      </c>
      <c r="E35" s="554" t="s">
        <v>1400</v>
      </c>
      <c r="F35" s="6"/>
      <c r="G35" s="6"/>
      <c r="H35" s="6"/>
      <c r="I35" s="6"/>
      <c r="J35" s="6"/>
      <c r="K35" s="6"/>
    </row>
    <row r="36" spans="2:11" ht="15.75" thickBot="1">
      <c r="B36" s="1448"/>
      <c r="C36" s="93"/>
      <c r="D36" s="40" t="s">
        <v>41</v>
      </c>
      <c r="E36" s="554" t="s">
        <v>1477</v>
      </c>
      <c r="F36" s="6"/>
      <c r="G36" s="6"/>
      <c r="H36" s="6"/>
      <c r="I36" s="6"/>
      <c r="J36" s="6"/>
      <c r="K36" s="6"/>
    </row>
    <row r="37" spans="2:11" ht="15.75" thickBot="1">
      <c r="B37" s="1448"/>
      <c r="C37" s="93"/>
      <c r="D37" s="40" t="s">
        <v>42</v>
      </c>
      <c r="E37" s="554" t="s">
        <v>1390</v>
      </c>
      <c r="F37" s="6"/>
      <c r="G37" s="6"/>
      <c r="H37" s="6"/>
      <c r="I37" s="6"/>
      <c r="J37" s="6"/>
      <c r="K37" s="6"/>
    </row>
    <row r="38" spans="2:11" ht="48.75" thickBot="1">
      <c r="B38" s="1448"/>
      <c r="C38" s="93"/>
      <c r="D38" s="40" t="s">
        <v>43</v>
      </c>
      <c r="E38" s="554" t="s">
        <v>1391</v>
      </c>
      <c r="F38" s="6"/>
      <c r="G38" s="6"/>
      <c r="H38" s="6"/>
      <c r="I38" s="6"/>
      <c r="J38" s="6"/>
      <c r="K38" s="6"/>
    </row>
    <row r="39" spans="2:11" ht="15.75" thickBot="1">
      <c r="B39" s="1448"/>
      <c r="C39" s="93"/>
      <c r="D39" s="40" t="s">
        <v>44</v>
      </c>
      <c r="E39" s="554">
        <v>5748960</v>
      </c>
      <c r="F39" s="6"/>
      <c r="G39" s="6"/>
      <c r="H39" s="6"/>
      <c r="I39" s="6"/>
      <c r="J39" s="6"/>
      <c r="K39" s="6"/>
    </row>
    <row r="40" spans="2:11" ht="60.75" thickBot="1">
      <c r="B40" s="1449"/>
      <c r="C40" s="3"/>
      <c r="D40" s="40" t="s">
        <v>45</v>
      </c>
      <c r="E40" s="554" t="s">
        <v>1407</v>
      </c>
      <c r="F40" s="6"/>
      <c r="G40" s="6"/>
      <c r="H40" s="6"/>
      <c r="I40" s="6"/>
      <c r="J40" s="6"/>
      <c r="K40" s="6"/>
    </row>
    <row r="41" spans="2:11" ht="15.75" thickBot="1">
      <c r="B41" s="2"/>
      <c r="C41" s="75"/>
      <c r="D41" s="6"/>
      <c r="E41" s="6"/>
      <c r="F41" s="6"/>
      <c r="G41" s="6"/>
      <c r="H41" s="6"/>
      <c r="I41" s="6"/>
      <c r="J41" s="6"/>
      <c r="K41" s="6"/>
    </row>
    <row r="42" spans="2:11" ht="15.75" thickBot="1">
      <c r="B42" s="1450" t="s">
        <v>46</v>
      </c>
      <c r="C42" s="1451"/>
      <c r="D42" s="1451"/>
      <c r="E42" s="1452"/>
      <c r="F42" s="6"/>
      <c r="G42" s="6"/>
      <c r="H42" s="6"/>
      <c r="I42" s="6"/>
      <c r="J42" s="6"/>
      <c r="K42" s="6"/>
    </row>
    <row r="43" spans="2:11" ht="60.75" thickBot="1">
      <c r="B43" s="1447">
        <v>1</v>
      </c>
      <c r="C43" s="93"/>
      <c r="D43" s="48" t="s">
        <v>39</v>
      </c>
      <c r="E43" s="1241" t="s">
        <v>47</v>
      </c>
      <c r="F43" s="6"/>
      <c r="G43" s="6"/>
      <c r="H43" s="6"/>
      <c r="I43" s="6"/>
      <c r="J43" s="6"/>
      <c r="K43" s="6"/>
    </row>
    <row r="44" spans="2:11" ht="84.75" thickBot="1">
      <c r="B44" s="1448"/>
      <c r="C44" s="93"/>
      <c r="D44" s="40" t="s">
        <v>40</v>
      </c>
      <c r="E44" s="1241" t="s">
        <v>48</v>
      </c>
      <c r="F44" s="6"/>
      <c r="G44" s="6"/>
      <c r="H44" s="6"/>
      <c r="I44" s="6"/>
      <c r="J44" s="6"/>
      <c r="K44" s="6"/>
    </row>
    <row r="45" spans="2:11" ht="15.75" thickBot="1">
      <c r="B45" s="1448"/>
      <c r="C45" s="93"/>
      <c r="D45" s="40" t="s">
        <v>41</v>
      </c>
      <c r="E45" s="303"/>
      <c r="F45" s="6"/>
      <c r="G45" s="6"/>
      <c r="H45" s="6"/>
      <c r="I45" s="6"/>
      <c r="J45" s="6"/>
      <c r="K45" s="6"/>
    </row>
    <row r="46" spans="2:11" ht="15.75" thickBot="1">
      <c r="B46" s="1448"/>
      <c r="C46" s="93"/>
      <c r="D46" s="40" t="s">
        <v>42</v>
      </c>
      <c r="E46" s="303"/>
      <c r="F46" s="6"/>
      <c r="G46" s="6"/>
      <c r="H46" s="6"/>
      <c r="I46" s="6"/>
      <c r="J46" s="6"/>
      <c r="K46" s="6"/>
    </row>
    <row r="47" spans="2:11" ht="15.75" thickBot="1">
      <c r="B47" s="1448"/>
      <c r="C47" s="93"/>
      <c r="D47" s="40" t="s">
        <v>43</v>
      </c>
      <c r="E47" s="303"/>
      <c r="F47" s="6"/>
      <c r="G47" s="6"/>
      <c r="H47" s="6"/>
      <c r="I47" s="6"/>
      <c r="J47" s="6"/>
      <c r="K47" s="6"/>
    </row>
    <row r="48" spans="2:11" ht="15.75" thickBot="1">
      <c r="B48" s="1448"/>
      <c r="C48" s="93"/>
      <c r="D48" s="40" t="s">
        <v>44</v>
      </c>
      <c r="E48" s="303"/>
      <c r="F48" s="6"/>
      <c r="G48" s="6"/>
      <c r="H48" s="6"/>
      <c r="I48" s="6"/>
      <c r="J48" s="6"/>
      <c r="K48" s="6"/>
    </row>
    <row r="49" spans="2:11" ht="15.75" thickBot="1">
      <c r="B49" s="1449"/>
      <c r="C49" s="3"/>
      <c r="D49" s="40" t="s">
        <v>45</v>
      </c>
      <c r="E49" s="303"/>
      <c r="F49" s="6"/>
      <c r="G49" s="6"/>
      <c r="H49" s="6"/>
      <c r="I49" s="6"/>
      <c r="J49" s="6"/>
      <c r="K49" s="6"/>
    </row>
    <row r="50" spans="2:11" ht="15.75" thickBot="1">
      <c r="B50" s="2"/>
      <c r="C50" s="75"/>
      <c r="D50" s="6"/>
      <c r="E50" s="6"/>
      <c r="F50" s="6"/>
      <c r="G50" s="6"/>
      <c r="H50" s="6"/>
      <c r="I50" s="6"/>
      <c r="J50" s="6"/>
      <c r="K50" s="6"/>
    </row>
    <row r="51" spans="2:11" ht="15" customHeight="1" thickBot="1">
      <c r="B51" s="119" t="s">
        <v>49</v>
      </c>
      <c r="C51" s="120"/>
      <c r="D51" s="120"/>
      <c r="E51" s="121"/>
      <c r="G51" s="6"/>
      <c r="H51" s="6"/>
      <c r="I51" s="6"/>
      <c r="J51" s="6"/>
      <c r="K51" s="6"/>
    </row>
    <row r="52" spans="2:11" ht="24.75" thickBot="1">
      <c r="B52" s="47" t="s">
        <v>50</v>
      </c>
      <c r="C52" s="40" t="s">
        <v>51</v>
      </c>
      <c r="D52" s="40" t="s">
        <v>52</v>
      </c>
      <c r="E52" s="40" t="s">
        <v>53</v>
      </c>
      <c r="F52" s="6"/>
      <c r="G52" s="6"/>
      <c r="H52" s="6"/>
      <c r="I52" s="6"/>
      <c r="J52" s="6"/>
    </row>
    <row r="53" spans="2:11" ht="72.75" thickBot="1">
      <c r="B53" s="49">
        <v>42401</v>
      </c>
      <c r="C53" s="40">
        <v>0.01</v>
      </c>
      <c r="D53" s="50" t="s">
        <v>555</v>
      </c>
      <c r="E53" s="40"/>
      <c r="F53" s="6"/>
      <c r="G53" s="6"/>
      <c r="H53" s="6"/>
      <c r="I53" s="6"/>
      <c r="J53" s="6"/>
    </row>
    <row r="54" spans="2:11" ht="15.75" thickBot="1">
      <c r="B54" s="4"/>
      <c r="C54" s="94"/>
      <c r="D54" s="6"/>
      <c r="E54" s="6"/>
      <c r="F54" s="6"/>
      <c r="G54" s="6"/>
      <c r="H54" s="6"/>
      <c r="I54" s="6"/>
      <c r="J54" s="6"/>
      <c r="K54" s="6"/>
    </row>
    <row r="55" spans="2:11">
      <c r="B55" s="134" t="s">
        <v>55</v>
      </c>
      <c r="C55" s="95"/>
      <c r="D55" s="6"/>
      <c r="E55" s="6"/>
      <c r="F55" s="6"/>
      <c r="G55" s="6"/>
      <c r="H55" s="6"/>
      <c r="I55" s="6"/>
      <c r="J55" s="6"/>
      <c r="K55" s="6"/>
    </row>
    <row r="56" spans="2:11" ht="81" customHeight="1">
      <c r="B56" s="1547" t="s">
        <v>556</v>
      </c>
      <c r="C56" s="1548"/>
      <c r="D56" s="1549"/>
      <c r="E56" s="6"/>
      <c r="F56" s="6"/>
      <c r="G56" s="6"/>
      <c r="H56" s="6"/>
      <c r="I56" s="6"/>
      <c r="J56" s="6"/>
      <c r="K56" s="6"/>
    </row>
    <row r="57" spans="2:11">
      <c r="B57" s="1550"/>
      <c r="C57" s="1551"/>
      <c r="D57" s="1552"/>
      <c r="E57" s="6"/>
      <c r="F57" s="6"/>
      <c r="G57" s="6"/>
      <c r="H57" s="6"/>
      <c r="I57" s="6"/>
      <c r="J57" s="6"/>
      <c r="K57" s="6"/>
    </row>
    <row r="58" spans="2:11">
      <c r="B58" s="2"/>
      <c r="C58" s="75"/>
      <c r="D58" s="6"/>
      <c r="E58" s="6"/>
      <c r="F58" s="6"/>
      <c r="G58" s="6"/>
      <c r="H58" s="6"/>
      <c r="I58" s="6"/>
      <c r="J58" s="6"/>
      <c r="K58" s="6"/>
    </row>
    <row r="59" spans="2:11" ht="15.75" thickBot="1">
      <c r="B59" s="6"/>
      <c r="D59" s="6"/>
      <c r="E59" s="6"/>
      <c r="F59" s="6"/>
      <c r="G59" s="6"/>
      <c r="H59" s="6"/>
      <c r="I59" s="6"/>
      <c r="J59" s="6"/>
      <c r="K59" s="6"/>
    </row>
    <row r="60" spans="2:11" ht="24.75" thickBot="1">
      <c r="B60" s="51" t="s">
        <v>450</v>
      </c>
      <c r="C60" s="96"/>
      <c r="D60" s="6"/>
      <c r="E60" s="6"/>
      <c r="F60" s="6"/>
      <c r="G60" s="6"/>
      <c r="H60" s="6"/>
      <c r="I60" s="6"/>
      <c r="J60" s="6"/>
      <c r="K60" s="6"/>
    </row>
    <row r="61" spans="2:11" ht="15.75" thickBot="1">
      <c r="B61" s="37"/>
      <c r="C61" s="87"/>
      <c r="D61" s="6"/>
      <c r="E61" s="6"/>
      <c r="F61" s="6"/>
      <c r="G61" s="6"/>
      <c r="H61" s="6"/>
      <c r="I61" s="6"/>
      <c r="J61" s="6"/>
      <c r="K61" s="6"/>
    </row>
    <row r="62" spans="2:11" ht="84.75" thickBot="1">
      <c r="B62" s="52" t="s">
        <v>57</v>
      </c>
      <c r="C62" s="97"/>
      <c r="D62" s="43" t="s">
        <v>527</v>
      </c>
      <c r="E62" s="6"/>
      <c r="F62" s="6"/>
      <c r="G62" s="6"/>
      <c r="H62" s="6"/>
      <c r="I62" s="6"/>
      <c r="J62" s="6"/>
      <c r="K62" s="6"/>
    </row>
    <row r="63" spans="2:11">
      <c r="B63" s="1447" t="s">
        <v>59</v>
      </c>
      <c r="C63" s="93"/>
      <c r="D63" s="53" t="s">
        <v>60</v>
      </c>
      <c r="E63" s="6"/>
      <c r="F63" s="6"/>
      <c r="G63" s="6"/>
      <c r="H63" s="6"/>
      <c r="I63" s="6"/>
      <c r="J63" s="6"/>
      <c r="K63" s="6"/>
    </row>
    <row r="64" spans="2:11" ht="120">
      <c r="B64" s="1448"/>
      <c r="C64" s="93"/>
      <c r="D64" s="46" t="s">
        <v>528</v>
      </c>
      <c r="E64" s="6"/>
      <c r="F64" s="6"/>
      <c r="G64" s="6"/>
      <c r="H64" s="6"/>
      <c r="I64" s="6"/>
      <c r="J64" s="6"/>
      <c r="K64" s="6"/>
    </row>
    <row r="65" spans="2:11">
      <c r="B65" s="1448"/>
      <c r="C65" s="93"/>
      <c r="D65" s="53" t="s">
        <v>63</v>
      </c>
      <c r="E65" s="6"/>
      <c r="F65" s="6"/>
      <c r="G65" s="6"/>
      <c r="H65" s="6"/>
      <c r="I65" s="6"/>
      <c r="J65" s="6"/>
      <c r="K65" s="6"/>
    </row>
    <row r="66" spans="2:11">
      <c r="B66" s="1448"/>
      <c r="C66" s="93"/>
      <c r="D66" s="46" t="s">
        <v>165</v>
      </c>
      <c r="E66" s="6"/>
      <c r="F66" s="6"/>
      <c r="G66" s="6"/>
      <c r="H66" s="6"/>
      <c r="I66" s="6"/>
      <c r="J66" s="6"/>
      <c r="K66" s="6"/>
    </row>
    <row r="67" spans="2:11" ht="24">
      <c r="B67" s="1448"/>
      <c r="C67" s="93"/>
      <c r="D67" s="46" t="s">
        <v>529</v>
      </c>
      <c r="E67" s="6"/>
      <c r="F67" s="6"/>
      <c r="G67" s="6"/>
      <c r="H67" s="6"/>
      <c r="I67" s="6"/>
      <c r="J67" s="6"/>
      <c r="K67" s="6"/>
    </row>
    <row r="68" spans="2:11">
      <c r="B68" s="1448"/>
      <c r="C68" s="93"/>
      <c r="D68" s="46" t="s">
        <v>530</v>
      </c>
      <c r="E68" s="6"/>
      <c r="F68" s="6"/>
      <c r="G68" s="6"/>
      <c r="H68" s="6"/>
      <c r="I68" s="6"/>
      <c r="J68" s="6"/>
      <c r="K68" s="6"/>
    </row>
    <row r="69" spans="2:11" ht="24">
      <c r="B69" s="1448"/>
      <c r="C69" s="93"/>
      <c r="D69" s="46" t="s">
        <v>531</v>
      </c>
      <c r="E69" s="6"/>
      <c r="F69" s="6"/>
      <c r="G69" s="6"/>
      <c r="H69" s="6"/>
      <c r="I69" s="6"/>
      <c r="J69" s="6"/>
      <c r="K69" s="6"/>
    </row>
    <row r="70" spans="2:11" ht="24">
      <c r="B70" s="1448"/>
      <c r="C70" s="93"/>
      <c r="D70" s="46" t="s">
        <v>532</v>
      </c>
      <c r="E70" s="6"/>
      <c r="F70" s="6"/>
      <c r="G70" s="6"/>
      <c r="H70" s="6"/>
      <c r="I70" s="6"/>
      <c r="J70" s="6"/>
      <c r="K70" s="6"/>
    </row>
    <row r="71" spans="2:11" ht="24">
      <c r="B71" s="1448"/>
      <c r="C71" s="93"/>
      <c r="D71" s="46" t="s">
        <v>533</v>
      </c>
      <c r="E71" s="6"/>
      <c r="F71" s="6"/>
      <c r="G71" s="6"/>
      <c r="H71" s="6"/>
      <c r="I71" s="6"/>
      <c r="J71" s="6"/>
      <c r="K71" s="6"/>
    </row>
    <row r="72" spans="2:11">
      <c r="B72" s="1448"/>
      <c r="C72" s="93"/>
      <c r="D72" s="53" t="s">
        <v>288</v>
      </c>
      <c r="E72" s="6"/>
      <c r="F72" s="6"/>
      <c r="G72" s="6"/>
      <c r="H72" s="6"/>
      <c r="I72" s="6"/>
      <c r="J72" s="6"/>
      <c r="K72" s="6"/>
    </row>
    <row r="73" spans="2:11" ht="36">
      <c r="B73" s="1448"/>
      <c r="C73" s="93"/>
      <c r="D73" s="46" t="s">
        <v>353</v>
      </c>
      <c r="E73" s="6"/>
      <c r="F73" s="6"/>
      <c r="G73" s="6"/>
      <c r="H73" s="6"/>
      <c r="I73" s="6"/>
      <c r="J73" s="6"/>
      <c r="K73" s="6"/>
    </row>
    <row r="74" spans="2:11" ht="36">
      <c r="B74" s="1448"/>
      <c r="C74" s="93"/>
      <c r="D74" s="46" t="s">
        <v>534</v>
      </c>
      <c r="E74" s="6"/>
      <c r="F74" s="6"/>
      <c r="G74" s="6"/>
      <c r="H74" s="6"/>
      <c r="I74" s="6"/>
      <c r="J74" s="6"/>
      <c r="K74" s="6"/>
    </row>
    <row r="75" spans="2:11" ht="84.75" thickBot="1">
      <c r="B75" s="1449"/>
      <c r="C75" s="3"/>
      <c r="D75" s="40" t="s">
        <v>535</v>
      </c>
      <c r="E75" s="6"/>
      <c r="F75" s="6"/>
      <c r="G75" s="6"/>
      <c r="H75" s="6"/>
      <c r="I75" s="6"/>
      <c r="J75" s="6"/>
      <c r="K75" s="6"/>
    </row>
    <row r="76" spans="2:11" ht="24.75" thickBot="1">
      <c r="B76" s="47" t="s">
        <v>72</v>
      </c>
      <c r="C76" s="3"/>
      <c r="D76" s="40"/>
      <c r="E76" s="6"/>
      <c r="F76" s="6"/>
      <c r="G76" s="6"/>
      <c r="H76" s="6"/>
      <c r="I76" s="6"/>
      <c r="J76" s="6"/>
      <c r="K76" s="6"/>
    </row>
    <row r="77" spans="2:11" ht="84">
      <c r="B77" s="1447" t="s">
        <v>73</v>
      </c>
      <c r="C77" s="93"/>
      <c r="D77" s="46" t="s">
        <v>536</v>
      </c>
      <c r="E77" s="6"/>
      <c r="F77" s="6"/>
      <c r="G77" s="6"/>
      <c r="H77" s="6"/>
      <c r="I77" s="6"/>
      <c r="J77" s="6"/>
      <c r="K77" s="6"/>
    </row>
    <row r="78" spans="2:11" ht="96">
      <c r="B78" s="1448"/>
      <c r="C78" s="93"/>
      <c r="D78" s="46" t="s">
        <v>537</v>
      </c>
      <c r="E78" s="6"/>
      <c r="F78" s="6"/>
      <c r="G78" s="6"/>
      <c r="H78" s="6"/>
      <c r="I78" s="6"/>
      <c r="J78" s="6"/>
      <c r="K78" s="6"/>
    </row>
    <row r="79" spans="2:11" ht="132">
      <c r="B79" s="1448"/>
      <c r="C79" s="93"/>
      <c r="D79" s="46" t="s">
        <v>538</v>
      </c>
      <c r="E79" s="6"/>
      <c r="F79" s="6"/>
      <c r="G79" s="6"/>
      <c r="H79" s="6"/>
      <c r="I79" s="6"/>
      <c r="J79" s="6"/>
      <c r="K79" s="6"/>
    </row>
    <row r="80" spans="2:11" ht="144.75" thickBot="1">
      <c r="B80" s="1449"/>
      <c r="C80" s="3"/>
      <c r="D80" s="40" t="s">
        <v>539</v>
      </c>
      <c r="E80" s="6"/>
      <c r="F80" s="6"/>
      <c r="G80" s="6"/>
      <c r="H80" s="6"/>
      <c r="I80" s="6"/>
      <c r="J80" s="6"/>
      <c r="K80" s="6"/>
    </row>
    <row r="81" spans="2:11" ht="24">
      <c r="B81" s="1447" t="s">
        <v>90</v>
      </c>
      <c r="C81" s="93"/>
      <c r="D81" s="53" t="s">
        <v>526</v>
      </c>
      <c r="E81" s="6"/>
      <c r="F81" s="6"/>
      <c r="G81" s="6"/>
      <c r="H81" s="6"/>
      <c r="I81" s="6"/>
      <c r="J81" s="6"/>
      <c r="K81" s="6"/>
    </row>
    <row r="82" spans="2:11">
      <c r="B82" s="1448"/>
      <c r="C82" s="93"/>
      <c r="D82" s="46" t="s">
        <v>497</v>
      </c>
      <c r="E82" s="6"/>
      <c r="F82" s="6"/>
      <c r="G82" s="6"/>
      <c r="H82" s="6"/>
      <c r="I82" s="6"/>
      <c r="J82" s="6"/>
      <c r="K82" s="6"/>
    </row>
    <row r="83" spans="2:11">
      <c r="B83" s="1448"/>
      <c r="C83" s="93"/>
      <c r="D83" s="46" t="s">
        <v>91</v>
      </c>
      <c r="E83" s="6"/>
      <c r="F83" s="6"/>
      <c r="G83" s="6"/>
      <c r="H83" s="6"/>
      <c r="I83" s="6"/>
      <c r="J83" s="6"/>
      <c r="K83" s="6"/>
    </row>
    <row r="84" spans="2:11" ht="37.5">
      <c r="B84" s="1448"/>
      <c r="C84" s="93"/>
      <c r="D84" s="46" t="s">
        <v>540</v>
      </c>
      <c r="E84" s="6"/>
      <c r="F84" s="6"/>
      <c r="G84" s="6"/>
      <c r="H84" s="6"/>
      <c r="I84" s="6"/>
      <c r="J84" s="6"/>
      <c r="K84" s="6"/>
    </row>
    <row r="85" spans="2:11" ht="37.5">
      <c r="B85" s="1448"/>
      <c r="C85" s="93"/>
      <c r="D85" s="46" t="s">
        <v>541</v>
      </c>
      <c r="E85" s="6"/>
      <c r="F85" s="6"/>
      <c r="G85" s="6"/>
      <c r="H85" s="6"/>
      <c r="I85" s="6"/>
      <c r="J85" s="6"/>
      <c r="K85" s="6"/>
    </row>
    <row r="86" spans="2:11" ht="37.5">
      <c r="B86" s="1448"/>
      <c r="C86" s="93"/>
      <c r="D86" s="46" t="s">
        <v>542</v>
      </c>
      <c r="E86" s="6"/>
      <c r="F86" s="6"/>
      <c r="G86" s="6"/>
      <c r="H86" s="6"/>
      <c r="I86" s="6"/>
      <c r="J86" s="6"/>
      <c r="K86" s="6"/>
    </row>
    <row r="87" spans="2:11" ht="84">
      <c r="B87" s="1448"/>
      <c r="C87" s="93"/>
      <c r="D87" s="54" t="s">
        <v>235</v>
      </c>
      <c r="E87" s="6"/>
      <c r="F87" s="6"/>
      <c r="G87" s="6"/>
      <c r="H87" s="6"/>
      <c r="I87" s="6"/>
      <c r="J87" s="6"/>
      <c r="K87" s="6"/>
    </row>
    <row r="88" spans="2:11">
      <c r="B88" s="1448"/>
      <c r="C88" s="93"/>
      <c r="D88" s="53" t="s">
        <v>246</v>
      </c>
      <c r="E88" s="6"/>
      <c r="F88" s="6"/>
      <c r="G88" s="6"/>
      <c r="H88" s="6"/>
      <c r="I88" s="6"/>
      <c r="J88" s="6"/>
      <c r="K88" s="6"/>
    </row>
    <row r="89" spans="2:11" ht="24">
      <c r="B89" s="1448"/>
      <c r="C89" s="93"/>
      <c r="D89" s="53" t="s">
        <v>543</v>
      </c>
      <c r="E89" s="6"/>
      <c r="F89" s="6"/>
      <c r="G89" s="6"/>
      <c r="H89" s="6"/>
      <c r="I89" s="6"/>
      <c r="J89" s="6"/>
      <c r="K89" s="6"/>
    </row>
    <row r="90" spans="2:11">
      <c r="B90" s="1448"/>
      <c r="C90" s="93"/>
      <c r="D90" s="17"/>
      <c r="E90" s="6"/>
      <c r="F90" s="6"/>
      <c r="G90" s="6"/>
      <c r="H90" s="6"/>
      <c r="I90" s="6"/>
      <c r="J90" s="6"/>
      <c r="K90" s="6"/>
    </row>
    <row r="91" spans="2:11">
      <c r="B91" s="1448"/>
      <c r="C91" s="93"/>
      <c r="D91" s="46" t="s">
        <v>91</v>
      </c>
      <c r="E91" s="6"/>
      <c r="F91" s="6"/>
      <c r="G91" s="6"/>
      <c r="H91" s="6"/>
      <c r="I91" s="6"/>
      <c r="J91" s="6"/>
      <c r="K91" s="6"/>
    </row>
    <row r="92" spans="2:11" ht="49.5">
      <c r="B92" s="1448"/>
      <c r="C92" s="93"/>
      <c r="D92" s="46" t="s">
        <v>544</v>
      </c>
      <c r="E92" s="6"/>
      <c r="F92" s="6"/>
      <c r="G92" s="6"/>
      <c r="H92" s="6"/>
      <c r="I92" s="6"/>
      <c r="J92" s="6"/>
      <c r="K92" s="6"/>
    </row>
    <row r="93" spans="2:11" ht="50.25" thickBot="1">
      <c r="B93" s="1449"/>
      <c r="C93" s="3"/>
      <c r="D93" s="40" t="s">
        <v>545</v>
      </c>
      <c r="E93" s="6"/>
      <c r="F93" s="6"/>
      <c r="G93" s="6"/>
      <c r="H93" s="6"/>
      <c r="I93" s="6"/>
      <c r="J93" s="6"/>
      <c r="K93" s="6"/>
    </row>
    <row r="94" spans="2:11">
      <c r="B94" s="6"/>
      <c r="D94" s="6"/>
      <c r="E94" s="6"/>
      <c r="F94" s="6"/>
      <c r="G94" s="6"/>
      <c r="H94" s="6"/>
      <c r="I94" s="6"/>
      <c r="J94" s="6"/>
      <c r="K94" s="6"/>
    </row>
    <row r="95" spans="2:11">
      <c r="B95" s="6"/>
      <c r="D95" s="6"/>
      <c r="E95" s="6"/>
      <c r="F95" s="6"/>
      <c r="G95" s="6"/>
      <c r="H95" s="6"/>
      <c r="I95" s="6"/>
      <c r="J95" s="6"/>
      <c r="K95" s="6"/>
    </row>
    <row r="96" spans="2:11">
      <c r="B96" s="6"/>
      <c r="D96" s="6"/>
      <c r="E96" s="6"/>
      <c r="F96" s="6"/>
      <c r="G96" s="6"/>
      <c r="H96" s="6"/>
      <c r="I96" s="6"/>
      <c r="J96" s="6"/>
      <c r="K96" s="6"/>
    </row>
    <row r="97" spans="2:11">
      <c r="B97" s="6"/>
      <c r="D97" s="6"/>
      <c r="E97" s="6"/>
      <c r="F97" s="6"/>
      <c r="G97" s="6"/>
      <c r="H97" s="6"/>
      <c r="I97" s="6"/>
      <c r="J97" s="6"/>
      <c r="K97" s="6"/>
    </row>
    <row r="98" spans="2:11">
      <c r="B98" s="6"/>
      <c r="D98" s="6"/>
      <c r="E98" s="6"/>
      <c r="F98" s="6"/>
      <c r="G98" s="6"/>
      <c r="H98" s="6"/>
      <c r="I98" s="6"/>
      <c r="J98" s="6"/>
      <c r="K98" s="6"/>
    </row>
    <row r="99" spans="2:11">
      <c r="B99" s="6"/>
      <c r="D99" s="6"/>
      <c r="E99" s="6"/>
      <c r="F99" s="6"/>
      <c r="G99" s="6"/>
      <c r="H99" s="6"/>
      <c r="I99" s="6"/>
      <c r="J99" s="6"/>
      <c r="K99" s="6"/>
    </row>
    <row r="100" spans="2:11">
      <c r="B100" s="6"/>
      <c r="D100" s="6"/>
      <c r="E100" s="6"/>
      <c r="F100" s="6"/>
      <c r="G100" s="6"/>
      <c r="H100" s="6"/>
      <c r="I100" s="6"/>
      <c r="J100" s="6"/>
      <c r="K100" s="6"/>
    </row>
    <row r="101" spans="2:11">
      <c r="B101" s="6"/>
      <c r="D101" s="6"/>
      <c r="E101" s="6"/>
      <c r="F101" s="6"/>
      <c r="G101" s="6"/>
      <c r="H101" s="6"/>
      <c r="I101" s="6"/>
      <c r="J101" s="6"/>
      <c r="K101" s="6"/>
    </row>
    <row r="102" spans="2:11">
      <c r="B102" s="6"/>
      <c r="D102" s="6"/>
      <c r="E102" s="6"/>
      <c r="F102" s="6"/>
      <c r="G102" s="6"/>
      <c r="H102" s="6"/>
      <c r="I102" s="6"/>
      <c r="J102" s="6"/>
      <c r="K102" s="6"/>
    </row>
    <row r="103" spans="2:11">
      <c r="B103" s="6"/>
      <c r="D103" s="6"/>
      <c r="E103" s="6"/>
      <c r="F103" s="6"/>
      <c r="G103" s="6"/>
      <c r="H103" s="6"/>
      <c r="I103" s="6"/>
      <c r="J103" s="6"/>
      <c r="K103" s="6"/>
    </row>
    <row r="104" spans="2:11">
      <c r="B104" s="6"/>
      <c r="D104" s="6"/>
      <c r="E104" s="6"/>
      <c r="F104" s="6"/>
      <c r="G104" s="6"/>
      <c r="H104" s="6"/>
      <c r="I104" s="6"/>
      <c r="J104" s="6"/>
      <c r="K104" s="6"/>
    </row>
    <row r="105" spans="2:11">
      <c r="B105" s="6"/>
      <c r="D105" s="6"/>
      <c r="E105" s="6"/>
      <c r="F105" s="6"/>
      <c r="G105" s="6"/>
      <c r="H105" s="6"/>
      <c r="I105" s="6"/>
      <c r="J105" s="6"/>
      <c r="K105" s="6"/>
    </row>
    <row r="106" spans="2:11">
      <c r="B106" s="6"/>
      <c r="D106" s="6"/>
      <c r="E106" s="6"/>
      <c r="F106" s="6"/>
      <c r="G106" s="6"/>
      <c r="H106" s="6"/>
      <c r="I106" s="6"/>
      <c r="J106" s="6"/>
      <c r="K106" s="6"/>
    </row>
    <row r="107" spans="2:11">
      <c r="B107" s="6"/>
      <c r="D107" s="6"/>
      <c r="E107" s="6"/>
      <c r="F107" s="6"/>
      <c r="G107" s="6"/>
      <c r="H107" s="6"/>
      <c r="I107" s="6"/>
      <c r="J107" s="6"/>
      <c r="K107" s="6"/>
    </row>
    <row r="108" spans="2:11">
      <c r="B108" s="6"/>
      <c r="D108" s="6"/>
      <c r="E108" s="6"/>
      <c r="F108" s="6"/>
      <c r="G108" s="6"/>
      <c r="H108" s="6"/>
      <c r="I108" s="6"/>
      <c r="J108" s="6"/>
      <c r="K108" s="6"/>
    </row>
    <row r="109" spans="2:11">
      <c r="B109" s="6"/>
      <c r="D109" s="6"/>
      <c r="E109" s="6"/>
      <c r="F109" s="6"/>
      <c r="G109" s="6"/>
      <c r="H109" s="6"/>
      <c r="I109" s="6"/>
      <c r="J109" s="6"/>
      <c r="K109" s="6"/>
    </row>
    <row r="110" spans="2:11">
      <c r="B110" s="6"/>
      <c r="D110" s="6"/>
      <c r="E110" s="6"/>
      <c r="F110" s="6"/>
      <c r="G110" s="6"/>
      <c r="H110" s="6"/>
      <c r="I110" s="6"/>
      <c r="J110" s="6"/>
      <c r="K110" s="6"/>
    </row>
    <row r="111" spans="2:11">
      <c r="B111" s="6"/>
      <c r="D111" s="6"/>
      <c r="E111" s="6"/>
      <c r="F111" s="6"/>
      <c r="G111" s="6"/>
      <c r="H111" s="6"/>
      <c r="I111" s="6"/>
      <c r="J111" s="6"/>
      <c r="K111" s="6"/>
    </row>
    <row r="112" spans="2:11">
      <c r="B112" s="6"/>
      <c r="D112" s="6"/>
      <c r="E112" s="6"/>
      <c r="F112" s="6"/>
      <c r="G112" s="6"/>
      <c r="H112" s="6"/>
      <c r="I112" s="6"/>
      <c r="J112" s="6"/>
      <c r="K112" s="6"/>
    </row>
    <row r="113" spans="2:11">
      <c r="B113" s="6"/>
      <c r="D113" s="6"/>
      <c r="E113" s="6"/>
      <c r="F113" s="6"/>
      <c r="G113" s="6"/>
      <c r="H113" s="6"/>
      <c r="I113" s="6"/>
      <c r="J113" s="6"/>
      <c r="K113" s="6"/>
    </row>
    <row r="114" spans="2:11">
      <c r="B114" s="6"/>
      <c r="D114" s="6"/>
      <c r="E114" s="6"/>
      <c r="F114" s="6"/>
      <c r="G114" s="6"/>
      <c r="H114" s="6"/>
      <c r="I114" s="6"/>
      <c r="J114" s="6"/>
      <c r="K114" s="6"/>
    </row>
    <row r="115" spans="2:11">
      <c r="B115" s="6"/>
      <c r="D115" s="6"/>
      <c r="E115" s="6"/>
      <c r="F115" s="6"/>
      <c r="G115" s="6"/>
      <c r="H115" s="6"/>
      <c r="I115" s="6"/>
      <c r="J115" s="6"/>
      <c r="K115" s="6"/>
    </row>
    <row r="116" spans="2:11">
      <c r="B116" s="6"/>
      <c r="D116" s="6"/>
      <c r="E116" s="6"/>
      <c r="F116" s="6"/>
      <c r="G116" s="6"/>
      <c r="H116" s="6"/>
      <c r="I116" s="6"/>
      <c r="J116" s="6"/>
      <c r="K116" s="6"/>
    </row>
    <row r="117" spans="2:11">
      <c r="B117" s="6"/>
      <c r="D117" s="6"/>
      <c r="E117" s="6"/>
      <c r="F117" s="6"/>
      <c r="G117" s="6"/>
      <c r="H117" s="6"/>
      <c r="I117" s="6"/>
      <c r="J117" s="6"/>
      <c r="K117" s="6"/>
    </row>
    <row r="118" spans="2:11">
      <c r="B118" s="6"/>
      <c r="D118" s="6"/>
      <c r="E118" s="6"/>
      <c r="F118" s="6"/>
      <c r="G118" s="6"/>
      <c r="H118" s="6"/>
      <c r="I118" s="6"/>
      <c r="J118" s="6"/>
      <c r="K118" s="6"/>
    </row>
    <row r="119" spans="2:11">
      <c r="B119" s="6"/>
      <c r="D119" s="6"/>
      <c r="E119" s="6"/>
      <c r="F119" s="6"/>
      <c r="G119" s="6"/>
      <c r="H119" s="6"/>
      <c r="I119" s="6"/>
      <c r="J119" s="6"/>
      <c r="K119" s="6"/>
    </row>
    <row r="120" spans="2:11">
      <c r="B120" s="6"/>
      <c r="D120" s="6"/>
      <c r="E120" s="6"/>
      <c r="F120" s="6"/>
      <c r="G120" s="6"/>
      <c r="H120" s="6"/>
      <c r="I120" s="6"/>
      <c r="J120" s="6"/>
      <c r="K120" s="6"/>
    </row>
    <row r="121" spans="2:11">
      <c r="B121" s="6"/>
      <c r="D121" s="6"/>
      <c r="E121" s="6"/>
      <c r="F121" s="6"/>
      <c r="G121" s="6"/>
      <c r="H121" s="6"/>
      <c r="I121" s="6"/>
      <c r="J121" s="6"/>
      <c r="K121" s="6"/>
    </row>
    <row r="122" spans="2:11">
      <c r="B122" s="6"/>
      <c r="D122" s="6"/>
      <c r="E122" s="6"/>
      <c r="F122" s="6"/>
      <c r="G122" s="6"/>
      <c r="H122" s="6"/>
      <c r="I122" s="6"/>
      <c r="J122" s="6"/>
      <c r="K122" s="6"/>
    </row>
    <row r="123" spans="2:11">
      <c r="B123" s="6"/>
      <c r="D123" s="6"/>
      <c r="E123" s="6"/>
      <c r="F123" s="6"/>
      <c r="G123" s="6"/>
      <c r="H123" s="6"/>
      <c r="I123" s="6"/>
      <c r="J123" s="6"/>
      <c r="K123" s="6"/>
    </row>
    <row r="124" spans="2:11">
      <c r="B124" s="6"/>
      <c r="D124" s="6"/>
      <c r="E124" s="6"/>
      <c r="F124" s="6"/>
      <c r="G124" s="6"/>
      <c r="H124" s="6"/>
      <c r="I124" s="6"/>
      <c r="J124" s="6"/>
      <c r="K124" s="6"/>
    </row>
    <row r="125" spans="2:11">
      <c r="B125" s="6"/>
      <c r="D125" s="6"/>
      <c r="E125" s="6"/>
      <c r="F125" s="6"/>
      <c r="G125" s="6"/>
      <c r="H125" s="6"/>
      <c r="I125" s="6"/>
      <c r="J125" s="6"/>
      <c r="K125" s="6"/>
    </row>
    <row r="126" spans="2:11">
      <c r="B126" s="6"/>
      <c r="D126" s="6"/>
      <c r="E126" s="6"/>
      <c r="F126" s="6"/>
      <c r="G126" s="6"/>
      <c r="H126" s="6"/>
      <c r="I126" s="6"/>
      <c r="J126" s="6"/>
      <c r="K126" s="6"/>
    </row>
    <row r="127" spans="2:11">
      <c r="B127" s="6"/>
      <c r="D127" s="6"/>
      <c r="E127" s="6"/>
      <c r="F127" s="6"/>
      <c r="G127" s="6"/>
      <c r="H127" s="6"/>
      <c r="I127" s="6"/>
      <c r="J127" s="6"/>
      <c r="K127" s="6"/>
    </row>
    <row r="128" spans="2:11">
      <c r="B128" s="6"/>
      <c r="D128" s="6"/>
      <c r="E128" s="6"/>
      <c r="F128" s="6"/>
      <c r="G128" s="6"/>
      <c r="H128" s="6"/>
      <c r="I128" s="6"/>
      <c r="J128" s="6"/>
      <c r="K128" s="6"/>
    </row>
    <row r="129" spans="2:11">
      <c r="B129" s="6"/>
      <c r="D129" s="6"/>
      <c r="E129" s="6"/>
      <c r="F129" s="6"/>
      <c r="G129" s="6"/>
      <c r="H129" s="6"/>
      <c r="I129" s="6"/>
      <c r="J129" s="6"/>
      <c r="K129" s="6"/>
    </row>
    <row r="130" spans="2:11">
      <c r="B130" s="6"/>
      <c r="D130" s="6"/>
      <c r="E130" s="6"/>
      <c r="F130" s="6"/>
      <c r="G130" s="6"/>
      <c r="H130" s="6"/>
      <c r="I130" s="6"/>
      <c r="J130" s="6"/>
      <c r="K130" s="6"/>
    </row>
    <row r="131" spans="2:11">
      <c r="B131" s="6"/>
      <c r="D131" s="6"/>
      <c r="E131" s="6"/>
      <c r="F131" s="6"/>
      <c r="G131" s="6"/>
      <c r="H131" s="6"/>
      <c r="I131" s="6"/>
      <c r="J131" s="6"/>
      <c r="K131" s="6"/>
    </row>
    <row r="132" spans="2:11">
      <c r="B132" s="6"/>
      <c r="D132" s="6"/>
      <c r="E132" s="6"/>
      <c r="F132" s="6"/>
      <c r="G132" s="6"/>
      <c r="H132" s="6"/>
      <c r="I132" s="6"/>
      <c r="J132" s="6"/>
      <c r="K132" s="6"/>
    </row>
    <row r="133" spans="2:11">
      <c r="B133" s="6"/>
      <c r="D133" s="6"/>
      <c r="E133" s="6"/>
      <c r="F133" s="6"/>
      <c r="G133" s="6"/>
      <c r="H133" s="6"/>
      <c r="I133" s="6"/>
      <c r="J133" s="6"/>
      <c r="K133" s="6"/>
    </row>
    <row r="134" spans="2:11">
      <c r="B134" s="6"/>
      <c r="D134" s="6"/>
      <c r="E134" s="6"/>
      <c r="F134" s="6"/>
      <c r="G134" s="6"/>
      <c r="H134" s="6"/>
      <c r="I134" s="6"/>
      <c r="J134" s="6"/>
      <c r="K134" s="6"/>
    </row>
    <row r="135" spans="2:11">
      <c r="B135" s="6"/>
      <c r="D135" s="6"/>
      <c r="E135" s="6"/>
      <c r="F135" s="6"/>
      <c r="G135" s="6"/>
      <c r="H135" s="6"/>
      <c r="I135" s="6"/>
      <c r="J135" s="6"/>
      <c r="K135" s="6"/>
    </row>
    <row r="136" spans="2:11">
      <c r="B136" s="6"/>
      <c r="D136" s="6"/>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sheetData>
  <sheetProtection insertRows="0"/>
  <mergeCells count="38">
    <mergeCell ref="A1:P1"/>
    <mergeCell ref="A2:P2"/>
    <mergeCell ref="A3:P3"/>
    <mergeCell ref="A4:D4"/>
    <mergeCell ref="A5:P5"/>
    <mergeCell ref="D23:L23"/>
    <mergeCell ref="D24:L24"/>
    <mergeCell ref="D25:L25"/>
    <mergeCell ref="K16:K17"/>
    <mergeCell ref="C26:C27"/>
    <mergeCell ref="D26:D27"/>
    <mergeCell ref="E26:E27"/>
    <mergeCell ref="F26:F27"/>
    <mergeCell ref="G26:G27"/>
    <mergeCell ref="J26:J27"/>
    <mergeCell ref="H16:J16"/>
    <mergeCell ref="L26:L27"/>
    <mergeCell ref="B63:B75"/>
    <mergeCell ref="B77:B80"/>
    <mergeCell ref="B81:B93"/>
    <mergeCell ref="D16:D17"/>
    <mergeCell ref="E16:G16"/>
    <mergeCell ref="D30:L30"/>
    <mergeCell ref="D31:L31"/>
    <mergeCell ref="B33:E33"/>
    <mergeCell ref="B34:B40"/>
    <mergeCell ref="B42:E42"/>
    <mergeCell ref="B43:B49"/>
    <mergeCell ref="B56:D57"/>
    <mergeCell ref="K26:K27"/>
    <mergeCell ref="B15:B29"/>
    <mergeCell ref="D15:L15"/>
    <mergeCell ref="D22:L22"/>
    <mergeCell ref="B10:D10"/>
    <mergeCell ref="F10:R10"/>
    <mergeCell ref="F11:R11"/>
    <mergeCell ref="E12:R12"/>
    <mergeCell ref="E13:R13"/>
  </mergeCells>
  <conditionalFormatting sqref="E12:R12">
    <cfRule type="expression" dxfId="85" priority="2">
      <formula>E11="SI SE REPORTA"</formula>
    </cfRule>
  </conditionalFormatting>
  <conditionalFormatting sqref="F10:R11">
    <cfRule type="expression" dxfId="84" priority="1">
      <formula>F9="SI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8:F20 H18:I20">
      <formula1>0</formula1>
    </dataValidation>
    <dataValidation type="whole" operator="greaterThanOrEqual" allowBlank="1" showInputMessage="1" showErrorMessage="1" errorTitle="ERROR" error="Valor en PESOS (sin centavos)" sqref="H28:K28">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179"/>
  <sheetViews>
    <sheetView showGridLines="0" topLeftCell="A19" zoomScale="98" zoomScaleNormal="98" workbookViewId="0">
      <selection activeCell="N36" sqref="N36"/>
    </sheetView>
  </sheetViews>
  <sheetFormatPr baseColWidth="10" defaultRowHeight="15"/>
  <cols>
    <col min="1" max="1" width="1.85546875" customWidth="1"/>
    <col min="2" max="2" width="12.85546875" customWidth="1"/>
    <col min="3" max="3" width="5" style="86" bestFit="1" customWidth="1"/>
    <col min="4" max="4" width="34.85546875" customWidth="1"/>
    <col min="5" max="5" width="12.140625" customWidth="1"/>
    <col min="11" max="11" width="14" customWidth="1"/>
  </cols>
  <sheetData>
    <row r="1" spans="1:20" s="490" customFormat="1" ht="100.5" customHeight="1" thickBot="1">
      <c r="A1" s="1334"/>
      <c r="B1" s="1335"/>
      <c r="C1" s="1335"/>
      <c r="D1" s="1335"/>
      <c r="E1" s="1335"/>
      <c r="F1" s="1335"/>
      <c r="G1" s="1335"/>
      <c r="H1" s="1335"/>
      <c r="I1" s="1335"/>
      <c r="J1" s="1335"/>
      <c r="K1" s="1335"/>
      <c r="L1" s="1335"/>
      <c r="M1" s="1335"/>
      <c r="N1" s="1335"/>
      <c r="O1" s="1335"/>
      <c r="P1" s="1336"/>
      <c r="Q1" s="389"/>
      <c r="R1" s="389"/>
    </row>
    <row r="2" spans="1:20" s="491" customFormat="1" ht="16.5" thickBot="1">
      <c r="A2" s="1342" t="str">
        <f>'Datos Generales'!C5</f>
        <v>Corporación Autónoma Regional del Cesar – CORPOCESAR</v>
      </c>
      <c r="B2" s="1343"/>
      <c r="C2" s="1343"/>
      <c r="D2" s="1343"/>
      <c r="E2" s="1343"/>
      <c r="F2" s="1343"/>
      <c r="G2" s="1343"/>
      <c r="H2" s="1343"/>
      <c r="I2" s="1343"/>
      <c r="J2" s="1343"/>
      <c r="K2" s="1343"/>
      <c r="L2" s="1343"/>
      <c r="M2" s="1343"/>
      <c r="N2" s="1343"/>
      <c r="O2" s="1343"/>
      <c r="P2" s="1344"/>
      <c r="Q2" s="389"/>
      <c r="R2" s="389"/>
    </row>
    <row r="3" spans="1:20" s="491" customFormat="1" ht="16.5" thickBot="1">
      <c r="A3" s="1337" t="s">
        <v>1294</v>
      </c>
      <c r="B3" s="1338"/>
      <c r="C3" s="1338"/>
      <c r="D3" s="1338"/>
      <c r="E3" s="1338"/>
      <c r="F3" s="1338"/>
      <c r="G3" s="1338"/>
      <c r="H3" s="1338"/>
      <c r="I3" s="1338"/>
      <c r="J3" s="1338"/>
      <c r="K3" s="1338"/>
      <c r="L3" s="1338"/>
      <c r="M3" s="1338"/>
      <c r="N3" s="1338"/>
      <c r="O3" s="1338"/>
      <c r="P3" s="1339"/>
      <c r="Q3" s="389"/>
      <c r="R3" s="389"/>
    </row>
    <row r="4" spans="1:20" s="491" customFormat="1" ht="16.5" thickBot="1">
      <c r="A4" s="1340" t="s">
        <v>1293</v>
      </c>
      <c r="B4" s="1341"/>
      <c r="C4" s="1341"/>
      <c r="D4" s="1341"/>
      <c r="E4" s="498">
        <v>2022</v>
      </c>
      <c r="F4" s="498"/>
      <c r="G4" s="498"/>
      <c r="H4" s="498"/>
      <c r="I4" s="498"/>
      <c r="J4" s="498"/>
      <c r="K4" s="498"/>
      <c r="L4" s="499"/>
      <c r="M4" s="499"/>
      <c r="N4" s="499"/>
      <c r="O4" s="499"/>
      <c r="P4" s="500"/>
      <c r="Q4" s="389"/>
      <c r="R4" s="389"/>
    </row>
    <row r="5" spans="1:20" s="235" customFormat="1" ht="16.5" customHeight="1" thickBot="1">
      <c r="A5" s="1337" t="s">
        <v>557</v>
      </c>
      <c r="B5" s="1338"/>
      <c r="C5" s="1338"/>
      <c r="D5" s="1338"/>
      <c r="E5" s="1338"/>
      <c r="F5" s="1338"/>
      <c r="G5" s="1338"/>
      <c r="H5" s="1338"/>
      <c r="I5" s="1338"/>
      <c r="J5" s="1338"/>
      <c r="K5" s="1338"/>
      <c r="L5" s="1338"/>
      <c r="M5" s="1338"/>
      <c r="N5" s="1338"/>
      <c r="O5" s="1338"/>
      <c r="P5" s="1339"/>
    </row>
    <row r="6" spans="1:20">
      <c r="B6" s="2" t="s">
        <v>1</v>
      </c>
      <c r="C6" s="75"/>
      <c r="D6" s="6"/>
      <c r="E6" s="73"/>
      <c r="F6" s="6" t="s">
        <v>128</v>
      </c>
      <c r="G6" s="6"/>
      <c r="H6" s="6"/>
      <c r="I6" s="6"/>
      <c r="J6" s="6"/>
      <c r="K6" s="6"/>
    </row>
    <row r="7" spans="1:20" ht="15.75" thickBot="1">
      <c r="B7" s="74"/>
      <c r="C7" s="106"/>
      <c r="D7" s="6"/>
      <c r="E7" s="18"/>
      <c r="F7" s="6" t="s">
        <v>129</v>
      </c>
      <c r="G7" s="6"/>
      <c r="H7" s="6"/>
      <c r="I7" s="6"/>
      <c r="J7" s="6"/>
      <c r="K7" s="6"/>
    </row>
    <row r="8" spans="1:20" ht="15.75" thickBot="1">
      <c r="B8" s="172" t="s">
        <v>1181</v>
      </c>
      <c r="C8" s="213">
        <v>2022</v>
      </c>
      <c r="D8" s="393">
        <f>IF(E10="NO APLICA","NO APLICA",IF(E11="NO SE REPORTA","SIN INFORMACION",+F22))</f>
        <v>0.92647058823529416</v>
      </c>
      <c r="E8" s="214"/>
      <c r="F8" s="6" t="s">
        <v>130</v>
      </c>
      <c r="G8" s="6"/>
      <c r="H8" s="6"/>
      <c r="I8" s="6"/>
      <c r="J8" s="6"/>
      <c r="K8" s="6"/>
    </row>
    <row r="9" spans="1:20">
      <c r="B9" s="462" t="s">
        <v>1182</v>
      </c>
      <c r="C9" s="87"/>
      <c r="D9" s="6"/>
      <c r="E9" s="6"/>
      <c r="F9" s="6"/>
      <c r="G9" s="6"/>
      <c r="H9" s="6"/>
      <c r="I9" s="6"/>
      <c r="J9" s="6"/>
      <c r="K9" s="6"/>
    </row>
    <row r="10" spans="1:20" s="389" customFormat="1">
      <c r="A10" s="235"/>
      <c r="B10" s="1392" t="s">
        <v>1236</v>
      </c>
      <c r="C10" s="1392"/>
      <c r="D10" s="1392"/>
      <c r="E10" s="468" t="s">
        <v>1233</v>
      </c>
      <c r="F10" s="1412" t="str">
        <f>'14Invasor'!F10</f>
        <v>Acuerdo 005 del 22 de mayo de 2020 (Por medio del cual se aprueba el Plan de Accion Institucional 2020 -2023)</v>
      </c>
      <c r="G10" s="1412"/>
      <c r="H10" s="1412"/>
      <c r="I10" s="1412"/>
      <c r="J10" s="1412"/>
      <c r="K10" s="1412"/>
      <c r="L10" s="1412"/>
      <c r="M10" s="1412"/>
      <c r="N10" s="1412"/>
      <c r="O10" s="1412"/>
      <c r="P10" s="1412"/>
      <c r="Q10" s="1412"/>
      <c r="R10" s="1412"/>
      <c r="S10" s="464"/>
      <c r="T10" s="464"/>
    </row>
    <row r="11" spans="1:20" s="389" customFormat="1" ht="14.45" customHeight="1">
      <c r="A11" s="235"/>
      <c r="B11" s="465"/>
      <c r="C11" s="466"/>
      <c r="D11" s="467" t="str">
        <f>IF(E10="SI APLICA","¿El indicador no se reporta por limitaciones de información disponible? ","")</f>
        <v xml:space="preserve">¿El indicador no se reporta por limitaciones de información disponible? </v>
      </c>
      <c r="E11" s="469" t="s">
        <v>1235</v>
      </c>
      <c r="F11" s="1412"/>
      <c r="G11" s="1412"/>
      <c r="H11" s="1412"/>
      <c r="I11" s="1412"/>
      <c r="J11" s="1412"/>
      <c r="K11" s="1412"/>
      <c r="L11" s="1412"/>
      <c r="M11" s="1412"/>
      <c r="N11" s="1412"/>
      <c r="O11" s="1412"/>
      <c r="P11" s="1412"/>
      <c r="Q11" s="1412"/>
      <c r="R11" s="1412"/>
    </row>
    <row r="12" spans="1:20" s="389" customFormat="1" ht="23.45" customHeight="1">
      <c r="A12" s="235"/>
      <c r="B12" s="462"/>
      <c r="C12" s="292"/>
      <c r="D12" s="467" t="str">
        <f>IF(E11="SI SE REPORTA","¿Qué programas o proyectos del Plan de Acción están asociados al indicador? ","")</f>
        <v xml:space="preserve">¿Qué programas o proyectos del Plan de Acción están asociados al indicador? </v>
      </c>
      <c r="E12" s="1430" t="s">
        <v>2114</v>
      </c>
      <c r="F12" s="1430"/>
      <c r="G12" s="1430"/>
      <c r="H12" s="1430"/>
      <c r="I12" s="1430"/>
      <c r="J12" s="1430"/>
      <c r="K12" s="1430"/>
      <c r="L12" s="1430"/>
      <c r="M12" s="1430"/>
      <c r="N12" s="1430"/>
      <c r="O12" s="1430"/>
      <c r="P12" s="1430"/>
      <c r="Q12" s="1430"/>
      <c r="R12" s="1430"/>
    </row>
    <row r="13" spans="1:20" s="389" customFormat="1" ht="30" customHeight="1">
      <c r="A13" s="235"/>
      <c r="B13" s="462"/>
      <c r="C13" s="292"/>
      <c r="D13" s="467" t="s">
        <v>1238</v>
      </c>
      <c r="E13" s="1395"/>
      <c r="F13" s="1396"/>
      <c r="G13" s="1396"/>
      <c r="H13" s="1396"/>
      <c r="I13" s="1396"/>
      <c r="J13" s="1396"/>
      <c r="K13" s="1396"/>
      <c r="L13" s="1396"/>
      <c r="M13" s="1396"/>
      <c r="N13" s="1396"/>
      <c r="O13" s="1396"/>
      <c r="P13" s="1396"/>
      <c r="Q13" s="1396"/>
      <c r="R13" s="1397"/>
    </row>
    <row r="14" spans="1:20" s="389" customFormat="1" ht="6.95" customHeight="1" thickBot="1">
      <c r="B14" s="462"/>
      <c r="C14" s="87"/>
      <c r="D14" s="6"/>
      <c r="E14" s="6"/>
      <c r="F14" s="6"/>
      <c r="G14" s="6"/>
      <c r="H14" s="6"/>
      <c r="I14" s="6"/>
      <c r="J14" s="6"/>
      <c r="K14" s="6"/>
    </row>
    <row r="15" spans="1:20" ht="15.6" customHeight="1" thickTop="1" thickBot="1">
      <c r="B15" s="1502" t="s">
        <v>2</v>
      </c>
      <c r="C15" s="88"/>
      <c r="D15" s="1458" t="s">
        <v>336</v>
      </c>
      <c r="E15" s="1459"/>
      <c r="F15" s="1459"/>
      <c r="G15" s="1459"/>
      <c r="H15" s="1459"/>
      <c r="I15" s="1459"/>
      <c r="J15" s="1459"/>
      <c r="K15" s="1460"/>
    </row>
    <row r="16" spans="1:20" ht="15.75" thickBot="1">
      <c r="B16" s="1503"/>
      <c r="C16" s="93"/>
      <c r="D16" s="43" t="s">
        <v>150</v>
      </c>
      <c r="E16" s="66" t="s">
        <v>20</v>
      </c>
      <c r="F16" s="66" t="s">
        <v>21</v>
      </c>
      <c r="G16" s="66" t="s">
        <v>22</v>
      </c>
      <c r="H16" s="392" t="s">
        <v>23</v>
      </c>
      <c r="I16" s="391"/>
      <c r="J16" s="6"/>
      <c r="K16" s="22"/>
    </row>
    <row r="17" spans="2:11" ht="36.75" thickBot="1">
      <c r="B17" s="1503"/>
      <c r="C17" s="93"/>
      <c r="D17" s="40" t="s">
        <v>576</v>
      </c>
      <c r="E17" s="190">
        <v>2626</v>
      </c>
      <c r="F17" s="190">
        <v>136</v>
      </c>
      <c r="G17" s="190">
        <v>1483</v>
      </c>
      <c r="H17" s="190"/>
      <c r="I17" s="391"/>
      <c r="J17" s="6"/>
      <c r="K17" s="22"/>
    </row>
    <row r="18" spans="2:11" ht="24.75" thickBot="1">
      <c r="B18" s="1503"/>
      <c r="C18" s="93"/>
      <c r="D18" s="40" t="s">
        <v>577</v>
      </c>
      <c r="E18" s="190"/>
      <c r="F18" s="190">
        <v>126</v>
      </c>
      <c r="G18" s="190">
        <v>810</v>
      </c>
      <c r="H18" s="445"/>
      <c r="I18" s="391"/>
      <c r="J18" s="6"/>
      <c r="K18" s="22"/>
    </row>
    <row r="19" spans="2:11" ht="15.75" thickBot="1">
      <c r="B19" s="1503"/>
      <c r="C19" s="93"/>
      <c r="D19" s="40" t="s">
        <v>578</v>
      </c>
      <c r="E19" s="190"/>
      <c r="F19" s="190">
        <v>0</v>
      </c>
      <c r="G19" s="190"/>
      <c r="H19" s="445"/>
      <c r="I19" s="391"/>
      <c r="J19" s="6"/>
      <c r="K19" s="22"/>
    </row>
    <row r="20" spans="2:11" ht="15.75" thickBot="1">
      <c r="B20" s="1503"/>
      <c r="C20" s="93"/>
      <c r="D20" s="40" t="s">
        <v>579</v>
      </c>
      <c r="E20" s="190"/>
      <c r="F20" s="190">
        <v>0</v>
      </c>
      <c r="G20" s="190"/>
      <c r="H20" s="445"/>
      <c r="I20" s="391"/>
      <c r="J20" s="6"/>
      <c r="K20" s="22"/>
    </row>
    <row r="21" spans="2:11" ht="15.75" thickBot="1">
      <c r="B21" s="1503"/>
      <c r="C21" s="93"/>
      <c r="D21" s="40" t="s">
        <v>151</v>
      </c>
      <c r="E21" s="142">
        <f>SUM(E17:E20)</f>
        <v>2626</v>
      </c>
      <c r="F21" s="142">
        <f>SUM(F18:F20)</f>
        <v>126</v>
      </c>
      <c r="G21" s="142">
        <f>SUM(G18:G20)</f>
        <v>810</v>
      </c>
      <c r="H21" s="142">
        <f>SUM(H18:H20)</f>
        <v>0</v>
      </c>
      <c r="I21" s="391"/>
      <c r="J21" s="6"/>
      <c r="K21" s="22"/>
    </row>
    <row r="22" spans="2:11" s="389" customFormat="1" ht="36.75" thickBot="1">
      <c r="B22" s="1503"/>
      <c r="C22" s="129"/>
      <c r="D22" s="52" t="s">
        <v>557</v>
      </c>
      <c r="E22" s="143">
        <f>+E21/E17</f>
        <v>1</v>
      </c>
      <c r="F22" s="143">
        <f>+F21/F17</f>
        <v>0.92647058823529416</v>
      </c>
      <c r="G22" s="143">
        <f>+G21/G17</f>
        <v>0.54619015509103164</v>
      </c>
      <c r="H22" s="143" t="e">
        <f>+H21/H17</f>
        <v>#DIV/0!</v>
      </c>
      <c r="I22" s="391"/>
      <c r="J22" s="6"/>
      <c r="K22" s="22"/>
    </row>
    <row r="23" spans="2:11">
      <c r="B23" s="1503"/>
      <c r="C23" s="91"/>
      <c r="D23" s="1461" t="s">
        <v>246</v>
      </c>
      <c r="E23" s="1462"/>
      <c r="F23" s="1462"/>
      <c r="G23" s="1462"/>
      <c r="H23" s="1462"/>
      <c r="I23" s="1462"/>
      <c r="J23" s="1462"/>
      <c r="K23" s="1463"/>
    </row>
    <row r="24" spans="2:11">
      <c r="B24" s="1503"/>
      <c r="C24" s="91"/>
      <c r="D24" s="1461" t="s">
        <v>580</v>
      </c>
      <c r="E24" s="1462"/>
      <c r="F24" s="1462"/>
      <c r="G24" s="1462"/>
      <c r="H24" s="1462"/>
      <c r="I24" s="1462"/>
      <c r="J24" s="1462"/>
      <c r="K24" s="1463"/>
    </row>
    <row r="25" spans="2:11" ht="15.75" thickBot="1">
      <c r="B25" s="1503"/>
      <c r="C25" s="91"/>
      <c r="D25" s="1499" t="s">
        <v>340</v>
      </c>
      <c r="E25" s="1500"/>
      <c r="F25" s="1500"/>
      <c r="G25" s="1500"/>
      <c r="H25" s="1500"/>
      <c r="I25" s="1500"/>
      <c r="J25" s="1500"/>
      <c r="K25" s="1501"/>
    </row>
    <row r="26" spans="2:11" ht="57" thickBot="1">
      <c r="B26" s="409"/>
      <c r="C26" s="97" t="s">
        <v>19</v>
      </c>
      <c r="D26" s="66" t="s">
        <v>270</v>
      </c>
      <c r="E26" s="66" t="s">
        <v>581</v>
      </c>
      <c r="F26" s="66" t="s">
        <v>582</v>
      </c>
      <c r="G26" s="66" t="s">
        <v>343</v>
      </c>
      <c r="H26" s="66" t="s">
        <v>344</v>
      </c>
      <c r="I26" s="66" t="s">
        <v>274</v>
      </c>
      <c r="J26" s="66" t="s">
        <v>275</v>
      </c>
      <c r="K26" s="415" t="s">
        <v>55</v>
      </c>
    </row>
    <row r="27" spans="2:11" ht="48.75" thickBot="1">
      <c r="B27" s="409"/>
      <c r="C27" s="3">
        <v>1</v>
      </c>
      <c r="D27" s="1158" t="s">
        <v>1683</v>
      </c>
      <c r="E27" s="1180" t="s">
        <v>2168</v>
      </c>
      <c r="F27" s="581">
        <v>1483</v>
      </c>
      <c r="G27" s="1181">
        <v>7268589929</v>
      </c>
      <c r="H27" s="1181">
        <v>7268589929</v>
      </c>
      <c r="I27" s="1181">
        <v>7256867163</v>
      </c>
      <c r="J27" s="1181">
        <v>5212329820</v>
      </c>
      <c r="K27" s="190"/>
    </row>
    <row r="28" spans="2:11" ht="15.75" hidden="1" thickBot="1">
      <c r="B28" s="409"/>
      <c r="C28" s="3">
        <v>2</v>
      </c>
      <c r="D28" s="31"/>
      <c r="E28" s="446"/>
      <c r="F28" s="209"/>
      <c r="G28" s="209"/>
      <c r="H28" s="209"/>
      <c r="I28" s="209"/>
      <c r="J28" s="209"/>
      <c r="K28" s="209"/>
    </row>
    <row r="29" spans="2:11" ht="15.75" hidden="1" thickBot="1">
      <c r="B29" s="409"/>
      <c r="C29" s="3">
        <v>3</v>
      </c>
      <c r="D29" s="31"/>
      <c r="E29" s="446"/>
      <c r="F29" s="209"/>
      <c r="G29" s="209"/>
      <c r="H29" s="209"/>
      <c r="I29" s="209"/>
      <c r="J29" s="209"/>
      <c r="K29" s="209"/>
    </row>
    <row r="30" spans="2:11" ht="15.75" hidden="1" thickBot="1">
      <c r="B30" s="409"/>
      <c r="C30" s="3">
        <v>4</v>
      </c>
      <c r="D30" s="31"/>
      <c r="E30" s="31"/>
      <c r="F30" s="209"/>
      <c r="G30" s="209"/>
      <c r="H30" s="209"/>
      <c r="I30" s="209"/>
      <c r="J30" s="209"/>
      <c r="K30" s="209"/>
    </row>
    <row r="31" spans="2:11" ht="15.75" hidden="1" thickBot="1">
      <c r="B31" s="409"/>
      <c r="C31" s="3">
        <v>5</v>
      </c>
      <c r="D31" s="31"/>
      <c r="E31" s="31"/>
      <c r="F31" s="209"/>
      <c r="G31" s="209"/>
      <c r="H31" s="209"/>
      <c r="I31" s="209"/>
      <c r="J31" s="209"/>
      <c r="K31" s="209"/>
    </row>
    <row r="32" spans="2:11" ht="15.75" hidden="1" thickBot="1">
      <c r="B32" s="409"/>
      <c r="C32" s="3">
        <v>6</v>
      </c>
      <c r="D32" s="31"/>
      <c r="E32" s="31"/>
      <c r="F32" s="209"/>
      <c r="G32" s="209"/>
      <c r="H32" s="209"/>
      <c r="I32" s="209"/>
      <c r="J32" s="209"/>
      <c r="K32" s="209"/>
    </row>
    <row r="33" spans="2:11" ht="15.75" thickBot="1">
      <c r="B33" s="410"/>
      <c r="C33" s="3"/>
      <c r="D33" s="40" t="s">
        <v>151</v>
      </c>
      <c r="E33" s="40"/>
      <c r="F33" s="1166">
        <f>SUM(F27:F32)</f>
        <v>1483</v>
      </c>
      <c r="G33" s="139">
        <f>SUM(G27:G32)</f>
        <v>7268589929</v>
      </c>
      <c r="H33" s="139">
        <f>SUM(H27:H32)</f>
        <v>7268589929</v>
      </c>
      <c r="I33" s="139">
        <f>SUM(I27:I32)</f>
        <v>7256867163</v>
      </c>
      <c r="J33" s="139">
        <f>SUM(J27:J32)</f>
        <v>5212329820</v>
      </c>
      <c r="K33" s="209"/>
    </row>
    <row r="34" spans="2:11" ht="24" customHeight="1" thickBot="1">
      <c r="B34" s="71" t="s">
        <v>34</v>
      </c>
      <c r="C34" s="107"/>
      <c r="D34" s="1453" t="s">
        <v>583</v>
      </c>
      <c r="E34" s="1454"/>
      <c r="F34" s="1454"/>
      <c r="G34" s="1454"/>
      <c r="H34" s="1454"/>
      <c r="I34" s="1454"/>
      <c r="J34" s="1454"/>
      <c r="K34" s="1455"/>
    </row>
    <row r="35" spans="2:11" ht="24" customHeight="1" thickBot="1">
      <c r="B35" s="71" t="s">
        <v>36</v>
      </c>
      <c r="C35" s="107"/>
      <c r="D35" s="1453" t="s">
        <v>346</v>
      </c>
      <c r="E35" s="1454"/>
      <c r="F35" s="1454"/>
      <c r="G35" s="1454"/>
      <c r="H35" s="1454"/>
      <c r="I35" s="1454"/>
      <c r="J35" s="1454"/>
      <c r="K35" s="1455"/>
    </row>
    <row r="36" spans="2:11" ht="15.75" thickBot="1">
      <c r="B36" s="2"/>
      <c r="C36" s="75"/>
      <c r="D36" s="6"/>
      <c r="E36" s="6"/>
      <c r="F36" s="6"/>
      <c r="G36" s="6"/>
      <c r="H36" s="6"/>
      <c r="I36" s="6"/>
      <c r="J36" s="6"/>
      <c r="K36" s="6"/>
    </row>
    <row r="37" spans="2:11" ht="24" customHeight="1" thickBot="1">
      <c r="B37" s="1450" t="s">
        <v>38</v>
      </c>
      <c r="C37" s="1451"/>
      <c r="D37" s="1451"/>
      <c r="E37" s="1452"/>
      <c r="F37" s="6"/>
      <c r="G37" s="6"/>
      <c r="H37" s="6"/>
      <c r="I37" s="6"/>
      <c r="J37" s="6"/>
      <c r="K37" s="6"/>
    </row>
    <row r="38" spans="2:11" ht="60.75" thickBot="1">
      <c r="B38" s="1447">
        <v>1</v>
      </c>
      <c r="C38" s="93"/>
      <c r="D38" s="48" t="s">
        <v>39</v>
      </c>
      <c r="E38" s="554" t="s">
        <v>1399</v>
      </c>
      <c r="F38" s="6"/>
      <c r="G38" s="6"/>
      <c r="H38" s="6"/>
      <c r="I38" s="6"/>
      <c r="J38" s="6"/>
      <c r="K38" s="6"/>
    </row>
    <row r="39" spans="2:11" ht="48.75" thickBot="1">
      <c r="B39" s="1448"/>
      <c r="C39" s="93"/>
      <c r="D39" s="40" t="s">
        <v>40</v>
      </c>
      <c r="E39" s="554" t="s">
        <v>1400</v>
      </c>
      <c r="F39" s="6"/>
      <c r="G39" s="6"/>
      <c r="H39" s="6"/>
      <c r="I39" s="6"/>
      <c r="J39" s="6"/>
      <c r="K39" s="6"/>
    </row>
    <row r="40" spans="2:11" ht="24.75" thickBot="1">
      <c r="B40" s="1448"/>
      <c r="C40" s="93"/>
      <c r="D40" s="40" t="s">
        <v>41</v>
      </c>
      <c r="E40" s="554" t="s">
        <v>1476</v>
      </c>
      <c r="F40" s="6"/>
      <c r="G40" s="6"/>
      <c r="H40" s="6"/>
      <c r="I40" s="6"/>
      <c r="J40" s="6"/>
      <c r="K40" s="6"/>
    </row>
    <row r="41" spans="2:11" ht="15.75" thickBot="1">
      <c r="B41" s="1448"/>
      <c r="C41" s="93"/>
      <c r="D41" s="40" t="s">
        <v>42</v>
      </c>
      <c r="E41" s="554" t="s">
        <v>1390</v>
      </c>
      <c r="F41" s="6"/>
      <c r="G41" s="6"/>
      <c r="H41" s="6"/>
      <c r="I41" s="6"/>
      <c r="J41" s="6"/>
      <c r="K41" s="6"/>
    </row>
    <row r="42" spans="2:11" ht="48.75" thickBot="1">
      <c r="B42" s="1448"/>
      <c r="C42" s="93"/>
      <c r="D42" s="40" t="s">
        <v>43</v>
      </c>
      <c r="E42" s="554" t="s">
        <v>1391</v>
      </c>
      <c r="F42" s="6"/>
      <c r="G42" s="6"/>
      <c r="H42" s="6"/>
      <c r="I42" s="6"/>
      <c r="J42" s="6"/>
      <c r="K42" s="6"/>
    </row>
    <row r="43" spans="2:11" ht="15.75" thickBot="1">
      <c r="B43" s="1448"/>
      <c r="C43" s="93"/>
      <c r="D43" s="40" t="s">
        <v>44</v>
      </c>
      <c r="E43" s="554">
        <v>5748960</v>
      </c>
      <c r="F43" s="6"/>
      <c r="G43" s="6"/>
      <c r="H43" s="6"/>
      <c r="I43" s="6"/>
      <c r="J43" s="6"/>
      <c r="K43" s="6"/>
    </row>
    <row r="44" spans="2:11" ht="60.75" thickBot="1">
      <c r="B44" s="1449"/>
      <c r="C44" s="3"/>
      <c r="D44" s="40" t="s">
        <v>45</v>
      </c>
      <c r="E44" s="554" t="s">
        <v>1407</v>
      </c>
      <c r="F44" s="6"/>
      <c r="G44" s="6"/>
      <c r="H44" s="6"/>
      <c r="I44" s="6"/>
      <c r="J44" s="6"/>
      <c r="K44" s="6"/>
    </row>
    <row r="45" spans="2:11" ht="15.75" thickBot="1">
      <c r="B45" s="2"/>
      <c r="C45" s="75"/>
      <c r="D45" s="6"/>
      <c r="E45" s="6"/>
      <c r="F45" s="6"/>
      <c r="G45" s="6"/>
      <c r="H45" s="6"/>
      <c r="I45" s="6"/>
      <c r="J45" s="6"/>
      <c r="K45" s="6"/>
    </row>
    <row r="46" spans="2:11" ht="15.75" thickBot="1">
      <c r="B46" s="1450" t="s">
        <v>46</v>
      </c>
      <c r="C46" s="1451"/>
      <c r="D46" s="1451"/>
      <c r="E46" s="1452"/>
      <c r="F46" s="6"/>
      <c r="G46" s="6"/>
      <c r="H46" s="6"/>
      <c r="I46" s="6"/>
      <c r="J46" s="6"/>
      <c r="K46" s="6"/>
    </row>
    <row r="47" spans="2:11" ht="60.75" thickBot="1">
      <c r="B47" s="1447">
        <v>1</v>
      </c>
      <c r="C47" s="93"/>
      <c r="D47" s="48" t="s">
        <v>39</v>
      </c>
      <c r="E47" s="622" t="s">
        <v>47</v>
      </c>
      <c r="F47" s="6"/>
      <c r="G47" s="6"/>
      <c r="H47" s="6"/>
      <c r="I47" s="6"/>
      <c r="J47" s="6"/>
      <c r="K47" s="6"/>
    </row>
    <row r="48" spans="2:11" ht="84.75" thickBot="1">
      <c r="B48" s="1448"/>
      <c r="C48" s="93"/>
      <c r="D48" s="40" t="s">
        <v>40</v>
      </c>
      <c r="E48" s="622" t="s">
        <v>160</v>
      </c>
      <c r="F48" s="6"/>
      <c r="G48" s="6"/>
      <c r="H48" s="6"/>
      <c r="I48" s="6"/>
      <c r="J48" s="6"/>
      <c r="K48" s="6"/>
    </row>
    <row r="49" spans="2:11" ht="15.75" thickBot="1">
      <c r="B49" s="1448"/>
      <c r="C49" s="93"/>
      <c r="D49" s="40" t="s">
        <v>41</v>
      </c>
      <c r="E49" s="291"/>
      <c r="F49" s="6"/>
      <c r="G49" s="6"/>
      <c r="H49" s="6"/>
      <c r="I49" s="6"/>
      <c r="J49" s="6"/>
      <c r="K49" s="6"/>
    </row>
    <row r="50" spans="2:11" ht="15.75" thickBot="1">
      <c r="B50" s="1448"/>
      <c r="C50" s="93"/>
      <c r="D50" s="40" t="s">
        <v>42</v>
      </c>
      <c r="E50" s="291"/>
      <c r="F50" s="6"/>
      <c r="G50" s="6"/>
      <c r="H50" s="6"/>
      <c r="I50" s="6"/>
      <c r="J50" s="6"/>
      <c r="K50" s="6"/>
    </row>
    <row r="51" spans="2:11" ht="15.75" thickBot="1">
      <c r="B51" s="1448"/>
      <c r="C51" s="93"/>
      <c r="D51" s="40" t="s">
        <v>43</v>
      </c>
      <c r="E51" s="291"/>
      <c r="F51" s="6"/>
      <c r="G51" s="6"/>
      <c r="H51" s="6"/>
      <c r="I51" s="6"/>
      <c r="J51" s="6"/>
      <c r="K51" s="6"/>
    </row>
    <row r="52" spans="2:11" ht="15.75" thickBot="1">
      <c r="B52" s="1448"/>
      <c r="C52" s="93"/>
      <c r="D52" s="40" t="s">
        <v>44</v>
      </c>
      <c r="E52" s="291"/>
      <c r="F52" s="6"/>
      <c r="G52" s="6"/>
      <c r="H52" s="6"/>
      <c r="I52" s="6"/>
      <c r="J52" s="6"/>
      <c r="K52" s="6"/>
    </row>
    <row r="53" spans="2:11" ht="15.75" thickBot="1">
      <c r="B53" s="1449"/>
      <c r="C53" s="3"/>
      <c r="D53" s="40" t="s">
        <v>45</v>
      </c>
      <c r="E53" s="291"/>
      <c r="F53" s="6"/>
      <c r="G53" s="6"/>
      <c r="H53" s="6"/>
      <c r="I53" s="6"/>
      <c r="J53" s="6"/>
      <c r="K53" s="6"/>
    </row>
    <row r="54" spans="2:11" ht="15.75" thickBot="1">
      <c r="B54" s="2"/>
      <c r="C54" s="75"/>
      <c r="D54" s="6"/>
      <c r="E54" s="6"/>
      <c r="F54" s="6"/>
      <c r="G54" s="6"/>
      <c r="H54" s="6"/>
      <c r="I54" s="6"/>
      <c r="J54" s="6"/>
      <c r="K54" s="6"/>
    </row>
    <row r="55" spans="2:11" ht="15" customHeight="1" thickBot="1">
      <c r="B55" s="123" t="s">
        <v>49</v>
      </c>
      <c r="C55" s="124"/>
      <c r="D55" s="124"/>
      <c r="E55" s="125"/>
      <c r="F55" s="6"/>
      <c r="G55" s="6"/>
      <c r="H55" s="6"/>
      <c r="I55" s="6"/>
      <c r="J55" s="6"/>
      <c r="K55" s="6"/>
    </row>
    <row r="56" spans="2:11" ht="24.75" thickBot="1">
      <c r="B56" s="47" t="s">
        <v>50</v>
      </c>
      <c r="C56" s="40" t="s">
        <v>51</v>
      </c>
      <c r="D56" s="40" t="s">
        <v>52</v>
      </c>
      <c r="E56" s="40" t="s">
        <v>53</v>
      </c>
      <c r="F56" s="6"/>
      <c r="G56" s="6"/>
      <c r="H56" s="6"/>
      <c r="I56" s="6"/>
      <c r="J56" s="6"/>
    </row>
    <row r="57" spans="2:11" ht="72.75" thickBot="1">
      <c r="B57" s="49">
        <v>42401</v>
      </c>
      <c r="C57" s="40">
        <v>0.01</v>
      </c>
      <c r="D57" s="50" t="s">
        <v>584</v>
      </c>
      <c r="E57" s="40"/>
      <c r="F57" s="6"/>
      <c r="G57" s="6"/>
      <c r="H57" s="6"/>
      <c r="I57" s="6"/>
      <c r="J57" s="6"/>
    </row>
    <row r="58" spans="2:11" ht="15.75" thickBot="1">
      <c r="B58" s="4"/>
      <c r="C58" s="94"/>
      <c r="D58" s="6"/>
      <c r="E58" s="6"/>
      <c r="F58" s="6"/>
      <c r="G58" s="6"/>
      <c r="H58" s="6"/>
      <c r="I58" s="6"/>
      <c r="J58" s="6"/>
      <c r="K58" s="6"/>
    </row>
    <row r="59" spans="2:11">
      <c r="B59" s="134" t="s">
        <v>55</v>
      </c>
      <c r="C59" s="95"/>
      <c r="D59" s="6"/>
      <c r="E59" s="6"/>
      <c r="F59" s="6"/>
      <c r="G59" s="6"/>
      <c r="H59" s="6"/>
      <c r="I59" s="6"/>
      <c r="J59" s="6"/>
      <c r="K59" s="6"/>
    </row>
    <row r="60" spans="2:11">
      <c r="B60" s="1420"/>
      <c r="C60" s="1421"/>
      <c r="D60" s="1421"/>
      <c r="E60" s="1422"/>
      <c r="F60" s="6"/>
      <c r="G60" s="6"/>
      <c r="H60" s="6"/>
      <c r="I60" s="6"/>
      <c r="J60" s="6"/>
      <c r="K60" s="6"/>
    </row>
    <row r="61" spans="2:11">
      <c r="B61" s="1423"/>
      <c r="C61" s="1424"/>
      <c r="D61" s="1424"/>
      <c r="E61" s="1425"/>
      <c r="F61" s="6"/>
      <c r="G61" s="6"/>
      <c r="H61" s="6"/>
      <c r="I61" s="6"/>
      <c r="J61" s="6"/>
      <c r="K61" s="6"/>
    </row>
    <row r="62" spans="2:11">
      <c r="B62" s="2"/>
      <c r="C62" s="75"/>
      <c r="D62" s="6"/>
      <c r="E62" s="6"/>
      <c r="F62" s="6"/>
      <c r="G62" s="6"/>
      <c r="H62" s="6"/>
      <c r="I62" s="6"/>
      <c r="J62" s="6"/>
      <c r="K62" s="6"/>
    </row>
    <row r="63" spans="2:11" ht="15.75" thickBot="1">
      <c r="B63" s="6"/>
      <c r="D63" s="6"/>
      <c r="E63" s="6"/>
      <c r="F63" s="6"/>
      <c r="G63" s="6"/>
      <c r="H63" s="6"/>
      <c r="I63" s="6"/>
      <c r="J63" s="6"/>
      <c r="K63" s="6"/>
    </row>
    <row r="64" spans="2:11" ht="24.75" thickBot="1">
      <c r="B64" s="51" t="s">
        <v>450</v>
      </c>
      <c r="C64" s="96"/>
      <c r="D64" s="6"/>
      <c r="E64" s="6"/>
      <c r="F64" s="6"/>
      <c r="G64" s="6"/>
      <c r="H64" s="6"/>
      <c r="I64" s="6"/>
      <c r="J64" s="6"/>
      <c r="K64" s="6"/>
    </row>
    <row r="65" spans="2:11" ht="15.75" thickBot="1">
      <c r="B65" s="37"/>
      <c r="C65" s="87"/>
      <c r="D65" s="6"/>
      <c r="E65" s="6"/>
      <c r="F65" s="6"/>
      <c r="G65" s="6"/>
      <c r="H65" s="6"/>
      <c r="I65" s="6"/>
      <c r="J65" s="6"/>
      <c r="K65" s="6"/>
    </row>
    <row r="66" spans="2:11" ht="72.75" thickBot="1">
      <c r="B66" s="52" t="s">
        <v>57</v>
      </c>
      <c r="C66" s="97"/>
      <c r="D66" s="43" t="s">
        <v>558</v>
      </c>
      <c r="E66" s="6"/>
      <c r="F66" s="6"/>
      <c r="G66" s="6"/>
      <c r="H66" s="6"/>
      <c r="I66" s="6"/>
      <c r="J66" s="6"/>
      <c r="K66" s="6"/>
    </row>
    <row r="67" spans="2:11">
      <c r="B67" s="1447" t="s">
        <v>59</v>
      </c>
      <c r="C67" s="93"/>
      <c r="D67" s="53" t="s">
        <v>60</v>
      </c>
      <c r="E67" s="6"/>
      <c r="F67" s="6"/>
      <c r="G67" s="6"/>
      <c r="H67" s="6"/>
      <c r="I67" s="6"/>
      <c r="J67" s="6"/>
      <c r="K67" s="6"/>
    </row>
    <row r="68" spans="2:11" ht="96">
      <c r="B68" s="1448"/>
      <c r="C68" s="93"/>
      <c r="D68" s="46" t="s">
        <v>559</v>
      </c>
      <c r="E68" s="6"/>
      <c r="F68" s="6"/>
      <c r="G68" s="6"/>
      <c r="H68" s="6"/>
      <c r="I68" s="6"/>
      <c r="J68" s="6"/>
      <c r="K68" s="6"/>
    </row>
    <row r="69" spans="2:11" ht="36">
      <c r="B69" s="1448"/>
      <c r="C69" s="93"/>
      <c r="D69" s="46" t="s">
        <v>560</v>
      </c>
      <c r="E69" s="6"/>
      <c r="F69" s="6"/>
      <c r="G69" s="6"/>
      <c r="H69" s="6"/>
      <c r="I69" s="6"/>
      <c r="J69" s="6"/>
      <c r="K69" s="6"/>
    </row>
    <row r="70" spans="2:11">
      <c r="B70" s="1448"/>
      <c r="C70" s="93"/>
      <c r="D70" s="53" t="s">
        <v>63</v>
      </c>
      <c r="E70" s="6"/>
      <c r="F70" s="6"/>
      <c r="G70" s="6"/>
      <c r="H70" s="6"/>
      <c r="I70" s="6"/>
      <c r="J70" s="6"/>
      <c r="K70" s="6"/>
    </row>
    <row r="71" spans="2:11">
      <c r="B71" s="1448"/>
      <c r="C71" s="93"/>
      <c r="D71" s="46" t="s">
        <v>65</v>
      </c>
      <c r="E71" s="6"/>
      <c r="F71" s="6"/>
      <c r="G71" s="6"/>
      <c r="H71" s="6"/>
      <c r="I71" s="6"/>
      <c r="J71" s="6"/>
      <c r="K71" s="6"/>
    </row>
    <row r="72" spans="2:11">
      <c r="B72" s="1448"/>
      <c r="C72" s="93"/>
      <c r="D72" s="53" t="s">
        <v>288</v>
      </c>
      <c r="E72" s="6"/>
      <c r="F72" s="6"/>
      <c r="G72" s="6"/>
      <c r="H72" s="6"/>
      <c r="I72" s="6"/>
      <c r="J72" s="6"/>
      <c r="K72" s="6"/>
    </row>
    <row r="73" spans="2:11" ht="36">
      <c r="B73" s="1448"/>
      <c r="C73" s="93"/>
      <c r="D73" s="46" t="s">
        <v>453</v>
      </c>
      <c r="E73" s="6"/>
      <c r="F73" s="6"/>
      <c r="G73" s="6"/>
      <c r="H73" s="6"/>
      <c r="I73" s="6"/>
      <c r="J73" s="6"/>
      <c r="K73" s="6"/>
    </row>
    <row r="74" spans="2:11">
      <c r="B74" s="1448"/>
      <c r="C74" s="93"/>
      <c r="D74" s="46" t="s">
        <v>561</v>
      </c>
      <c r="E74" s="6"/>
      <c r="F74" s="6"/>
      <c r="G74" s="6"/>
      <c r="H74" s="6"/>
      <c r="I74" s="6"/>
      <c r="J74" s="6"/>
      <c r="K74" s="6"/>
    </row>
    <row r="75" spans="2:11" ht="15.75" thickBot="1">
      <c r="B75" s="1449"/>
      <c r="C75" s="3"/>
      <c r="D75" s="68"/>
      <c r="E75" s="6"/>
      <c r="F75" s="6"/>
      <c r="G75" s="6"/>
      <c r="H75" s="6"/>
      <c r="I75" s="6"/>
      <c r="J75" s="6"/>
      <c r="K75" s="6"/>
    </row>
    <row r="76" spans="2:11" ht="24.75" thickBot="1">
      <c r="B76" s="47" t="s">
        <v>72</v>
      </c>
      <c r="C76" s="3"/>
      <c r="D76" s="40"/>
      <c r="E76" s="6"/>
      <c r="F76" s="6"/>
      <c r="G76" s="6"/>
      <c r="H76" s="6"/>
      <c r="I76" s="6"/>
      <c r="J76" s="6"/>
      <c r="K76" s="6"/>
    </row>
    <row r="77" spans="2:11" ht="72">
      <c r="B77" s="1447" t="s">
        <v>73</v>
      </c>
      <c r="C77" s="93"/>
      <c r="D77" s="46" t="s">
        <v>562</v>
      </c>
      <c r="E77" s="6"/>
      <c r="F77" s="6"/>
      <c r="G77" s="6"/>
      <c r="H77" s="6"/>
      <c r="I77" s="6"/>
      <c r="J77" s="6"/>
      <c r="K77" s="6"/>
    </row>
    <row r="78" spans="2:11" ht="132">
      <c r="B78" s="1448"/>
      <c r="C78" s="93"/>
      <c r="D78" s="46" t="s">
        <v>563</v>
      </c>
      <c r="E78" s="6"/>
      <c r="F78" s="6"/>
      <c r="G78" s="6"/>
      <c r="H78" s="6"/>
      <c r="I78" s="6"/>
      <c r="J78" s="6"/>
      <c r="K78" s="6"/>
    </row>
    <row r="79" spans="2:11" ht="108">
      <c r="B79" s="1448"/>
      <c r="C79" s="93"/>
      <c r="D79" s="46" t="s">
        <v>564</v>
      </c>
      <c r="E79" s="6"/>
      <c r="F79" s="6"/>
      <c r="G79" s="6"/>
      <c r="H79" s="6"/>
      <c r="I79" s="6"/>
      <c r="J79" s="6"/>
      <c r="K79" s="6"/>
    </row>
    <row r="80" spans="2:11" ht="84">
      <c r="B80" s="1448"/>
      <c r="C80" s="93"/>
      <c r="D80" s="46" t="s">
        <v>565</v>
      </c>
      <c r="E80" s="6"/>
      <c r="F80" s="6"/>
      <c r="G80" s="6"/>
      <c r="H80" s="6"/>
      <c r="I80" s="6"/>
      <c r="J80" s="6"/>
      <c r="K80" s="6"/>
    </row>
    <row r="81" spans="2:11" ht="108">
      <c r="B81" s="1448"/>
      <c r="C81" s="93"/>
      <c r="D81" s="46" t="s">
        <v>566</v>
      </c>
      <c r="E81" s="6"/>
      <c r="F81" s="6"/>
      <c r="G81" s="6"/>
      <c r="H81" s="6"/>
      <c r="I81" s="6"/>
      <c r="J81" s="6"/>
      <c r="K81" s="6"/>
    </row>
    <row r="82" spans="2:11" ht="60">
      <c r="B82" s="1448"/>
      <c r="C82" s="93"/>
      <c r="D82" s="46" t="s">
        <v>567</v>
      </c>
      <c r="E82" s="6"/>
      <c r="F82" s="6"/>
      <c r="G82" s="6"/>
      <c r="H82" s="6"/>
      <c r="I82" s="6"/>
      <c r="J82" s="6"/>
      <c r="K82" s="6"/>
    </row>
    <row r="83" spans="2:11" ht="84.75" thickBot="1">
      <c r="B83" s="1449"/>
      <c r="C83" s="3"/>
      <c r="D83" s="40" t="s">
        <v>568</v>
      </c>
      <c r="E83" s="6"/>
      <c r="F83" s="6"/>
      <c r="G83" s="6"/>
      <c r="H83" s="6"/>
      <c r="I83" s="6"/>
      <c r="J83" s="6"/>
      <c r="K83" s="6"/>
    </row>
    <row r="84" spans="2:11" ht="24">
      <c r="B84" s="1447" t="s">
        <v>90</v>
      </c>
      <c r="C84" s="93"/>
      <c r="D84" s="53" t="s">
        <v>557</v>
      </c>
      <c r="E84" s="6"/>
      <c r="F84" s="6"/>
      <c r="G84" s="6"/>
      <c r="H84" s="6"/>
      <c r="I84" s="6"/>
      <c r="J84" s="6"/>
      <c r="K84" s="6"/>
    </row>
    <row r="85" spans="2:11">
      <c r="B85" s="1448"/>
      <c r="C85" s="93"/>
      <c r="D85" s="17"/>
      <c r="E85" s="6"/>
      <c r="F85" s="6"/>
      <c r="G85" s="6"/>
      <c r="H85" s="6"/>
      <c r="I85" s="6"/>
      <c r="J85" s="6"/>
      <c r="K85" s="6"/>
    </row>
    <row r="86" spans="2:11">
      <c r="B86" s="1448"/>
      <c r="C86" s="93"/>
      <c r="D86" s="46" t="s">
        <v>91</v>
      </c>
      <c r="E86" s="6"/>
      <c r="F86" s="6"/>
      <c r="G86" s="6"/>
      <c r="H86" s="6"/>
      <c r="I86" s="6"/>
      <c r="J86" s="6"/>
      <c r="K86" s="6"/>
    </row>
    <row r="87" spans="2:11" ht="49.5">
      <c r="B87" s="1448"/>
      <c r="C87" s="93"/>
      <c r="D87" s="46" t="s">
        <v>569</v>
      </c>
      <c r="E87" s="6"/>
      <c r="F87" s="6"/>
      <c r="G87" s="6"/>
      <c r="H87" s="6"/>
      <c r="I87" s="6"/>
      <c r="J87" s="6"/>
      <c r="K87" s="6"/>
    </row>
    <row r="88" spans="2:11" ht="37.5">
      <c r="B88" s="1448"/>
      <c r="C88" s="93"/>
      <c r="D88" s="46" t="s">
        <v>570</v>
      </c>
      <c r="E88" s="6"/>
      <c r="F88" s="6"/>
      <c r="G88" s="6"/>
      <c r="H88" s="6"/>
      <c r="I88" s="6"/>
      <c r="J88" s="6"/>
      <c r="K88" s="6"/>
    </row>
    <row r="89" spans="2:11" ht="37.5">
      <c r="B89" s="1448"/>
      <c r="C89" s="93"/>
      <c r="D89" s="46" t="s">
        <v>571</v>
      </c>
      <c r="E89" s="6"/>
      <c r="F89" s="6"/>
      <c r="G89" s="6"/>
      <c r="H89" s="6"/>
      <c r="I89" s="6"/>
      <c r="J89" s="6"/>
      <c r="K89" s="6"/>
    </row>
    <row r="90" spans="2:11" ht="84">
      <c r="B90" s="1448"/>
      <c r="C90" s="93"/>
      <c r="D90" s="54" t="s">
        <v>235</v>
      </c>
      <c r="E90" s="6"/>
      <c r="F90" s="6"/>
      <c r="G90" s="6"/>
      <c r="H90" s="6"/>
      <c r="I90" s="6"/>
      <c r="J90" s="6"/>
      <c r="K90" s="6"/>
    </row>
    <row r="91" spans="2:11">
      <c r="B91" s="1448"/>
      <c r="C91" s="93"/>
      <c r="D91" s="53" t="s">
        <v>246</v>
      </c>
      <c r="E91" s="6"/>
      <c r="F91" s="6"/>
      <c r="G91" s="6"/>
      <c r="H91" s="6"/>
      <c r="I91" s="6"/>
      <c r="J91" s="6"/>
      <c r="K91" s="6"/>
    </row>
    <row r="92" spans="2:11" ht="36">
      <c r="B92" s="1448"/>
      <c r="C92" s="93"/>
      <c r="D92" s="53" t="s">
        <v>572</v>
      </c>
      <c r="E92" s="6"/>
      <c r="F92" s="6"/>
      <c r="G92" s="6"/>
      <c r="H92" s="6"/>
      <c r="I92" s="6"/>
      <c r="J92" s="6"/>
      <c r="K92" s="6"/>
    </row>
    <row r="93" spans="2:11">
      <c r="B93" s="1448"/>
      <c r="C93" s="93"/>
      <c r="D93" s="53" t="s">
        <v>573</v>
      </c>
      <c r="E93" s="6"/>
      <c r="F93" s="6"/>
      <c r="G93" s="6"/>
      <c r="H93" s="6"/>
      <c r="I93" s="6"/>
      <c r="J93" s="6"/>
      <c r="K93" s="6"/>
    </row>
    <row r="94" spans="2:11">
      <c r="B94" s="1448"/>
      <c r="C94" s="93"/>
      <c r="D94" s="17"/>
      <c r="E94" s="6"/>
      <c r="F94" s="6"/>
      <c r="G94" s="6"/>
      <c r="H94" s="6"/>
      <c r="I94" s="6"/>
      <c r="J94" s="6"/>
      <c r="K94" s="6"/>
    </row>
    <row r="95" spans="2:11">
      <c r="B95" s="1448"/>
      <c r="C95" s="93"/>
      <c r="D95" s="46" t="s">
        <v>91</v>
      </c>
      <c r="E95" s="6"/>
      <c r="F95" s="6"/>
      <c r="G95" s="6"/>
      <c r="H95" s="6"/>
      <c r="I95" s="6"/>
      <c r="J95" s="6"/>
      <c r="K95" s="6"/>
    </row>
    <row r="96" spans="2:11" ht="37.5">
      <c r="B96" s="1448"/>
      <c r="C96" s="93"/>
      <c r="D96" s="46" t="s">
        <v>574</v>
      </c>
      <c r="E96" s="6"/>
      <c r="F96" s="6"/>
      <c r="G96" s="6"/>
      <c r="H96" s="6"/>
      <c r="I96" s="6"/>
      <c r="J96" s="6"/>
      <c r="K96" s="6"/>
    </row>
    <row r="97" spans="2:11" ht="62.25" thickBot="1">
      <c r="B97" s="1449"/>
      <c r="C97" s="3"/>
      <c r="D97" s="40" t="s">
        <v>575</v>
      </c>
      <c r="E97" s="6"/>
      <c r="F97" s="6"/>
      <c r="G97" s="6"/>
      <c r="H97" s="6"/>
      <c r="I97" s="6"/>
      <c r="J97" s="6"/>
      <c r="K97" s="6"/>
    </row>
    <row r="98" spans="2:11">
      <c r="B98" s="6"/>
      <c r="D98" s="6"/>
      <c r="E98" s="6"/>
      <c r="F98" s="6"/>
      <c r="G98" s="6"/>
      <c r="H98" s="6"/>
      <c r="I98" s="6"/>
      <c r="J98" s="6"/>
      <c r="K98" s="6"/>
    </row>
    <row r="99" spans="2:11">
      <c r="B99" s="6"/>
      <c r="D99" s="6"/>
      <c r="E99" s="6"/>
      <c r="F99" s="6"/>
      <c r="G99" s="6"/>
      <c r="H99" s="6"/>
      <c r="I99" s="6"/>
      <c r="J99" s="6"/>
      <c r="K99" s="6"/>
    </row>
    <row r="100" spans="2:11">
      <c r="B100" s="6"/>
      <c r="D100" s="6"/>
      <c r="E100" s="6"/>
      <c r="F100" s="6"/>
      <c r="G100" s="6"/>
      <c r="H100" s="6"/>
      <c r="I100" s="6"/>
      <c r="J100" s="6"/>
      <c r="K100" s="6"/>
    </row>
    <row r="101" spans="2:11">
      <c r="B101" s="6"/>
      <c r="D101" s="6"/>
      <c r="E101" s="6"/>
      <c r="F101" s="6"/>
      <c r="G101" s="6"/>
      <c r="H101" s="6"/>
      <c r="I101" s="6"/>
      <c r="J101" s="6"/>
      <c r="K101" s="6"/>
    </row>
    <row r="102" spans="2:11">
      <c r="B102" s="6"/>
      <c r="D102" s="6"/>
      <c r="E102" s="6"/>
      <c r="F102" s="6"/>
      <c r="G102" s="6"/>
      <c r="H102" s="6"/>
      <c r="I102" s="6"/>
      <c r="J102" s="6"/>
      <c r="K102" s="6"/>
    </row>
    <row r="103" spans="2:11">
      <c r="B103" s="6"/>
      <c r="D103" s="6"/>
      <c r="E103" s="6"/>
      <c r="F103" s="6"/>
      <c r="G103" s="6"/>
      <c r="H103" s="6"/>
      <c r="I103" s="6"/>
      <c r="J103" s="6"/>
      <c r="K103" s="6"/>
    </row>
    <row r="104" spans="2:11">
      <c r="B104" s="6"/>
      <c r="D104" s="6"/>
      <c r="E104" s="6"/>
      <c r="F104" s="6"/>
      <c r="G104" s="6"/>
      <c r="H104" s="6"/>
      <c r="I104" s="6"/>
      <c r="J104" s="6"/>
      <c r="K104" s="6"/>
    </row>
    <row r="105" spans="2:11">
      <c r="B105" s="6"/>
      <c r="D105" s="6"/>
      <c r="E105" s="6"/>
      <c r="F105" s="6"/>
      <c r="G105" s="6"/>
      <c r="H105" s="6"/>
      <c r="I105" s="6"/>
      <c r="J105" s="6"/>
      <c r="K105" s="6"/>
    </row>
    <row r="106" spans="2:11">
      <c r="B106" s="6"/>
      <c r="D106" s="6"/>
      <c r="E106" s="6"/>
      <c r="F106" s="6"/>
      <c r="G106" s="6"/>
      <c r="H106" s="6"/>
      <c r="I106" s="6"/>
      <c r="J106" s="6"/>
      <c r="K106" s="6"/>
    </row>
    <row r="107" spans="2:11">
      <c r="B107" s="6"/>
      <c r="D107" s="6"/>
      <c r="E107" s="6"/>
      <c r="F107" s="6"/>
      <c r="G107" s="6"/>
      <c r="H107" s="6"/>
      <c r="I107" s="6"/>
      <c r="J107" s="6"/>
      <c r="K107" s="6"/>
    </row>
    <row r="108" spans="2:11">
      <c r="B108" s="6"/>
      <c r="D108" s="6"/>
      <c r="E108" s="6"/>
      <c r="F108" s="6"/>
      <c r="G108" s="6"/>
      <c r="H108" s="6"/>
      <c r="I108" s="6"/>
      <c r="J108" s="6"/>
      <c r="K108" s="6"/>
    </row>
    <row r="109" spans="2:11">
      <c r="B109" s="6"/>
      <c r="D109" s="6"/>
      <c r="E109" s="6"/>
      <c r="F109" s="6"/>
      <c r="G109" s="6"/>
      <c r="H109" s="6"/>
      <c r="I109" s="6"/>
      <c r="J109" s="6"/>
      <c r="K109" s="6"/>
    </row>
    <row r="110" spans="2:11">
      <c r="B110" s="6"/>
      <c r="D110" s="6"/>
      <c r="E110" s="6"/>
      <c r="F110" s="6"/>
      <c r="G110" s="6"/>
      <c r="H110" s="6"/>
      <c r="I110" s="6"/>
      <c r="J110" s="6"/>
      <c r="K110" s="6"/>
    </row>
    <row r="111" spans="2:11">
      <c r="B111" s="6"/>
      <c r="D111" s="6"/>
      <c r="E111" s="6"/>
      <c r="F111" s="6"/>
      <c r="G111" s="6"/>
      <c r="H111" s="6"/>
      <c r="I111" s="6"/>
      <c r="J111" s="6"/>
      <c r="K111" s="6"/>
    </row>
    <row r="112" spans="2:11">
      <c r="B112" s="6"/>
      <c r="D112" s="6"/>
      <c r="E112" s="6"/>
      <c r="F112" s="6"/>
      <c r="G112" s="6"/>
      <c r="H112" s="6"/>
      <c r="I112" s="6"/>
      <c r="J112" s="6"/>
      <c r="K112" s="6"/>
    </row>
    <row r="113" spans="2:11">
      <c r="B113" s="6"/>
      <c r="D113" s="6"/>
      <c r="E113" s="6"/>
      <c r="F113" s="6"/>
      <c r="G113" s="6"/>
      <c r="H113" s="6"/>
      <c r="I113" s="6"/>
      <c r="J113" s="6"/>
      <c r="K113" s="6"/>
    </row>
    <row r="114" spans="2:11">
      <c r="B114" s="6"/>
      <c r="D114" s="6"/>
      <c r="E114" s="6"/>
      <c r="F114" s="6"/>
      <c r="G114" s="6"/>
      <c r="H114" s="6"/>
      <c r="I114" s="6"/>
      <c r="J114" s="6"/>
      <c r="K114" s="6"/>
    </row>
    <row r="115" spans="2:11">
      <c r="B115" s="6"/>
      <c r="D115" s="6"/>
      <c r="E115" s="6"/>
      <c r="F115" s="6"/>
      <c r="G115" s="6"/>
      <c r="H115" s="6"/>
      <c r="I115" s="6"/>
      <c r="J115" s="6"/>
      <c r="K115" s="6"/>
    </row>
    <row r="116" spans="2:11">
      <c r="B116" s="6"/>
      <c r="D116" s="6"/>
      <c r="E116" s="6"/>
      <c r="F116" s="6"/>
      <c r="G116" s="6"/>
      <c r="H116" s="6"/>
      <c r="I116" s="6"/>
      <c r="J116" s="6"/>
      <c r="K116" s="6"/>
    </row>
    <row r="117" spans="2:11">
      <c r="B117" s="6"/>
      <c r="D117" s="6"/>
      <c r="E117" s="6"/>
      <c r="F117" s="6"/>
      <c r="G117" s="6"/>
      <c r="H117" s="6"/>
      <c r="I117" s="6"/>
      <c r="J117" s="6"/>
      <c r="K117" s="6"/>
    </row>
    <row r="118" spans="2:11">
      <c r="B118" s="6"/>
      <c r="D118" s="6"/>
      <c r="E118" s="6"/>
      <c r="F118" s="6"/>
      <c r="G118" s="6"/>
      <c r="H118" s="6"/>
      <c r="I118" s="6"/>
      <c r="J118" s="6"/>
      <c r="K118" s="6"/>
    </row>
    <row r="119" spans="2:11">
      <c r="B119" s="6"/>
      <c r="D119" s="6"/>
      <c r="E119" s="6"/>
      <c r="F119" s="6"/>
      <c r="G119" s="6"/>
      <c r="H119" s="6"/>
      <c r="I119" s="6"/>
      <c r="J119" s="6"/>
      <c r="K119" s="6"/>
    </row>
    <row r="120" spans="2:11">
      <c r="B120" s="6"/>
      <c r="D120" s="6"/>
      <c r="E120" s="6"/>
      <c r="F120" s="6"/>
      <c r="G120" s="6"/>
      <c r="H120" s="6"/>
      <c r="I120" s="6"/>
      <c r="J120" s="6"/>
      <c r="K120" s="6"/>
    </row>
    <row r="121" spans="2:11">
      <c r="B121" s="6"/>
      <c r="D121" s="6"/>
      <c r="E121" s="6"/>
      <c r="F121" s="6"/>
      <c r="G121" s="6"/>
      <c r="H121" s="6"/>
      <c r="I121" s="6"/>
      <c r="J121" s="6"/>
      <c r="K121" s="6"/>
    </row>
    <row r="122" spans="2:11">
      <c r="B122" s="6"/>
      <c r="D122" s="6"/>
      <c r="E122" s="6"/>
      <c r="F122" s="6"/>
      <c r="G122" s="6"/>
      <c r="H122" s="6"/>
      <c r="I122" s="6"/>
      <c r="J122" s="6"/>
      <c r="K122" s="6"/>
    </row>
    <row r="123" spans="2:11">
      <c r="B123" s="6"/>
      <c r="D123" s="6"/>
      <c r="E123" s="6"/>
      <c r="F123" s="6"/>
      <c r="G123" s="6"/>
      <c r="H123" s="6"/>
      <c r="I123" s="6"/>
      <c r="J123" s="6"/>
      <c r="K123" s="6"/>
    </row>
    <row r="124" spans="2:11">
      <c r="B124" s="6"/>
      <c r="D124" s="6"/>
      <c r="E124" s="6"/>
      <c r="F124" s="6"/>
      <c r="G124" s="6"/>
      <c r="H124" s="6"/>
      <c r="I124" s="6"/>
      <c r="J124" s="6"/>
      <c r="K124" s="6"/>
    </row>
    <row r="125" spans="2:11">
      <c r="B125" s="6"/>
      <c r="D125" s="6"/>
      <c r="E125" s="6"/>
      <c r="F125" s="6"/>
      <c r="G125" s="6"/>
      <c r="H125" s="6"/>
      <c r="I125" s="6"/>
      <c r="J125" s="6"/>
      <c r="K125" s="6"/>
    </row>
    <row r="126" spans="2:11">
      <c r="B126" s="6"/>
      <c r="D126" s="6"/>
      <c r="E126" s="6"/>
      <c r="F126" s="6"/>
      <c r="G126" s="6"/>
      <c r="H126" s="6"/>
      <c r="I126" s="6"/>
      <c r="J126" s="6"/>
      <c r="K126" s="6"/>
    </row>
    <row r="127" spans="2:11">
      <c r="B127" s="6"/>
      <c r="D127" s="6"/>
      <c r="E127" s="6"/>
      <c r="F127" s="6"/>
      <c r="G127" s="6"/>
      <c r="H127" s="6"/>
      <c r="I127" s="6"/>
      <c r="J127" s="6"/>
      <c r="K127" s="6"/>
    </row>
    <row r="128" spans="2:11">
      <c r="B128" s="6"/>
      <c r="D128" s="6"/>
      <c r="E128" s="6"/>
      <c r="F128" s="6"/>
      <c r="G128" s="6"/>
      <c r="H128" s="6"/>
      <c r="I128" s="6"/>
      <c r="J128" s="6"/>
      <c r="K128" s="6"/>
    </row>
    <row r="129" spans="2:11">
      <c r="B129" s="6"/>
      <c r="D129" s="6"/>
      <c r="E129" s="6"/>
      <c r="F129" s="6"/>
      <c r="G129" s="6"/>
      <c r="H129" s="6"/>
      <c r="I129" s="6"/>
      <c r="J129" s="6"/>
      <c r="K129" s="6"/>
    </row>
    <row r="130" spans="2:11">
      <c r="B130" s="6"/>
      <c r="D130" s="6"/>
      <c r="E130" s="6"/>
      <c r="F130" s="6"/>
      <c r="G130" s="6"/>
      <c r="H130" s="6"/>
      <c r="I130" s="6"/>
      <c r="J130" s="6"/>
      <c r="K130" s="6"/>
    </row>
    <row r="131" spans="2:11">
      <c r="B131" s="6"/>
      <c r="D131" s="6"/>
      <c r="E131" s="6"/>
      <c r="F131" s="6"/>
      <c r="G131" s="6"/>
      <c r="H131" s="6"/>
      <c r="I131" s="6"/>
      <c r="J131" s="6"/>
      <c r="K131" s="6"/>
    </row>
    <row r="132" spans="2:11">
      <c r="B132" s="6"/>
      <c r="D132" s="6"/>
      <c r="E132" s="6"/>
      <c r="F132" s="6"/>
      <c r="G132" s="6"/>
      <c r="H132" s="6"/>
      <c r="I132" s="6"/>
      <c r="J132" s="6"/>
      <c r="K132" s="6"/>
    </row>
    <row r="133" spans="2:11">
      <c r="B133" s="6"/>
      <c r="D133" s="6"/>
      <c r="E133" s="6"/>
      <c r="F133" s="6"/>
      <c r="G133" s="6"/>
      <c r="H133" s="6"/>
      <c r="I133" s="6"/>
      <c r="J133" s="6"/>
      <c r="K133" s="6"/>
    </row>
    <row r="134" spans="2:11">
      <c r="B134" s="6"/>
      <c r="D134" s="6"/>
      <c r="E134" s="6"/>
      <c r="F134" s="6"/>
      <c r="G134" s="6"/>
      <c r="H134" s="6"/>
      <c r="I134" s="6"/>
      <c r="J134" s="6"/>
      <c r="K134" s="6"/>
    </row>
    <row r="135" spans="2:11">
      <c r="B135" s="6"/>
      <c r="D135" s="6"/>
      <c r="E135" s="6"/>
      <c r="F135" s="6"/>
      <c r="G135" s="6"/>
      <c r="H135" s="6"/>
      <c r="I135" s="6"/>
      <c r="J135" s="6"/>
      <c r="K135" s="6"/>
    </row>
    <row r="136" spans="2:11">
      <c r="B136" s="6"/>
      <c r="D136" s="6"/>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sheetData>
  <sheetProtection insertRows="0"/>
  <mergeCells count="25">
    <mergeCell ref="A1:P1"/>
    <mergeCell ref="A2:P2"/>
    <mergeCell ref="A3:P3"/>
    <mergeCell ref="A4:D4"/>
    <mergeCell ref="A5:P5"/>
    <mergeCell ref="B60:E61"/>
    <mergeCell ref="B67:B75"/>
    <mergeCell ref="B77:B83"/>
    <mergeCell ref="B84:B97"/>
    <mergeCell ref="D15:K15"/>
    <mergeCell ref="D23:K23"/>
    <mergeCell ref="D24:K24"/>
    <mergeCell ref="D25:K25"/>
    <mergeCell ref="D34:K34"/>
    <mergeCell ref="D35:K35"/>
    <mergeCell ref="B37:E37"/>
    <mergeCell ref="B38:B44"/>
    <mergeCell ref="B46:E46"/>
    <mergeCell ref="B47:B53"/>
    <mergeCell ref="B15:B25"/>
    <mergeCell ref="B10:D10"/>
    <mergeCell ref="F10:R10"/>
    <mergeCell ref="F11:R11"/>
    <mergeCell ref="E12:R12"/>
    <mergeCell ref="E13:R13"/>
  </mergeCells>
  <conditionalFormatting sqref="F11:R11">
    <cfRule type="expression" dxfId="83" priority="4">
      <formula>E11="NO SE REPORTA"</formula>
    </cfRule>
    <cfRule type="expression" dxfId="82" priority="5">
      <formula>E10="NO APLICA"</formula>
    </cfRule>
  </conditionalFormatting>
  <conditionalFormatting sqref="E12:R12">
    <cfRule type="expression" dxfId="81" priority="3">
      <formula>E11="SI SE REPORTA"</formula>
    </cfRule>
  </conditionalFormatting>
  <conditionalFormatting sqref="F10:R10">
    <cfRule type="expression" dxfId="80" priority="1">
      <formula>E10="NO SE REPORTA"</formula>
    </cfRule>
    <cfRule type="expression" dxfId="79" priority="2">
      <formula>E9="NO APLICA"</formula>
    </cfRule>
  </conditionalFormatting>
  <dataValidations count="4">
    <dataValidation type="whole" operator="greaterThanOrEqual" allowBlank="1" showInputMessage="1" showErrorMessage="1" errorTitle="ERROR" error="Valor en PESOS (sin centavos)" sqref="G27:J32">
      <formula1>0</formula1>
    </dataValidation>
    <dataValidation type="whole" operator="greaterThanOrEqual" allowBlank="1" showInputMessage="1" showErrorMessage="1" errorTitle="ERROR" error="Valor en HECTAREAS (sin decimales)" sqref="F27:F32 E17:H20">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8"/>
  <sheetViews>
    <sheetView showGridLines="0" topLeftCell="A2" zoomScale="98" zoomScaleNormal="98" workbookViewId="0">
      <selection activeCell="E12" sqref="E12:R12"/>
    </sheetView>
  </sheetViews>
  <sheetFormatPr baseColWidth="10" defaultRowHeight="15"/>
  <cols>
    <col min="1" max="1" width="1.85546875" customWidth="1"/>
    <col min="2" max="2" width="12.85546875" customWidth="1"/>
    <col min="3" max="3" width="5" style="86" bestFit="1" customWidth="1"/>
    <col min="4" max="4" width="34.85546875" customWidth="1"/>
    <col min="5" max="5" width="15" customWidth="1"/>
    <col min="10" max="10" width="33.140625" customWidth="1"/>
  </cols>
  <sheetData>
    <row r="1" spans="1:20" s="490" customFormat="1" ht="100.5" customHeight="1" thickBot="1">
      <c r="A1" s="1334"/>
      <c r="B1" s="1335"/>
      <c r="C1" s="1335"/>
      <c r="D1" s="1335"/>
      <c r="E1" s="1335"/>
      <c r="F1" s="1335"/>
      <c r="G1" s="1335"/>
      <c r="H1" s="1335"/>
      <c r="I1" s="1335"/>
      <c r="J1" s="1335"/>
      <c r="K1" s="1335"/>
      <c r="L1" s="1335"/>
      <c r="M1" s="1335"/>
      <c r="N1" s="1335"/>
      <c r="O1" s="1335"/>
      <c r="P1" s="1336"/>
      <c r="Q1" s="389"/>
      <c r="R1" s="389"/>
    </row>
    <row r="2" spans="1:20" s="491" customFormat="1" ht="16.5" thickBot="1">
      <c r="A2" s="1342" t="str">
        <f>'Datos Generales'!C5</f>
        <v>Corporación Autónoma Regional del Cesar – CORPOCESAR</v>
      </c>
      <c r="B2" s="1343"/>
      <c r="C2" s="1343"/>
      <c r="D2" s="1343"/>
      <c r="E2" s="1343"/>
      <c r="F2" s="1343"/>
      <c r="G2" s="1343"/>
      <c r="H2" s="1343"/>
      <c r="I2" s="1343"/>
      <c r="J2" s="1343"/>
      <c r="K2" s="1343"/>
      <c r="L2" s="1343"/>
      <c r="M2" s="1343"/>
      <c r="N2" s="1343"/>
      <c r="O2" s="1343"/>
      <c r="P2" s="1344"/>
      <c r="Q2" s="389"/>
      <c r="R2" s="389"/>
    </row>
    <row r="3" spans="1:20" s="491" customFormat="1" ht="16.5" thickBot="1">
      <c r="A3" s="1337" t="s">
        <v>1294</v>
      </c>
      <c r="B3" s="1338"/>
      <c r="C3" s="1338"/>
      <c r="D3" s="1338"/>
      <c r="E3" s="1338"/>
      <c r="F3" s="1338"/>
      <c r="G3" s="1338"/>
      <c r="H3" s="1338"/>
      <c r="I3" s="1338"/>
      <c r="J3" s="1338"/>
      <c r="K3" s="1338"/>
      <c r="L3" s="1338"/>
      <c r="M3" s="1338"/>
      <c r="N3" s="1338"/>
      <c r="O3" s="1338"/>
      <c r="P3" s="1339"/>
      <c r="Q3" s="389"/>
      <c r="R3" s="389"/>
    </row>
    <row r="4" spans="1:20" s="491" customFormat="1" ht="16.5" thickBot="1">
      <c r="A4" s="1340" t="s">
        <v>1293</v>
      </c>
      <c r="B4" s="1341"/>
      <c r="C4" s="1341"/>
      <c r="D4" s="1341"/>
      <c r="E4" s="498">
        <v>2021</v>
      </c>
      <c r="F4" s="498"/>
      <c r="G4" s="498"/>
      <c r="H4" s="498"/>
      <c r="I4" s="498"/>
      <c r="J4" s="498"/>
      <c r="K4" s="498"/>
      <c r="L4" s="499"/>
      <c r="M4" s="499"/>
      <c r="N4" s="499"/>
      <c r="O4" s="499"/>
      <c r="P4" s="500"/>
      <c r="Q4" s="389"/>
      <c r="R4" s="389"/>
    </row>
    <row r="5" spans="1:20" s="235" customFormat="1" ht="16.5" customHeight="1" thickBot="1">
      <c r="A5" s="1337" t="s">
        <v>585</v>
      </c>
      <c r="B5" s="1338"/>
      <c r="C5" s="1338"/>
      <c r="D5" s="1338"/>
      <c r="E5" s="1338"/>
      <c r="F5" s="1338"/>
      <c r="G5" s="1338"/>
      <c r="H5" s="1338"/>
      <c r="I5" s="1338"/>
      <c r="J5" s="1338"/>
      <c r="K5" s="1338"/>
      <c r="L5" s="1338"/>
      <c r="M5" s="1338"/>
      <c r="N5" s="1338"/>
      <c r="O5" s="1338"/>
      <c r="P5" s="1339"/>
    </row>
    <row r="6" spans="1:20">
      <c r="B6" s="2" t="s">
        <v>1</v>
      </c>
      <c r="C6" s="75"/>
      <c r="D6" s="6"/>
      <c r="E6" s="73"/>
      <c r="F6" s="6" t="s">
        <v>128</v>
      </c>
      <c r="G6" s="6"/>
      <c r="H6" s="6"/>
      <c r="I6" s="6"/>
      <c r="J6" s="6"/>
      <c r="K6" s="6"/>
    </row>
    <row r="7" spans="1:20" ht="15.75" thickBot="1">
      <c r="B7" s="74"/>
      <c r="C7" s="76"/>
      <c r="D7" s="6"/>
      <c r="E7" s="18"/>
      <c r="F7" s="6" t="s">
        <v>129</v>
      </c>
      <c r="G7" s="6"/>
      <c r="H7" s="6"/>
      <c r="I7" s="6"/>
      <c r="J7" s="6"/>
      <c r="K7" s="6"/>
    </row>
    <row r="8" spans="1:20" ht="15.75" thickBot="1">
      <c r="B8" s="170" t="s">
        <v>1181</v>
      </c>
      <c r="C8" s="213">
        <v>2021</v>
      </c>
      <c r="D8" s="218" t="str">
        <f>IF(E10="NO APLICA","NO APLICA",IF(E11="NO SE REPORTA","SIN INFORMACION",+I30))</f>
        <v>NO APLICA</v>
      </c>
      <c r="E8" s="214"/>
      <c r="F8" s="6" t="s">
        <v>130</v>
      </c>
      <c r="G8" s="6"/>
      <c r="H8" s="6"/>
      <c r="I8" s="6"/>
      <c r="J8" s="6"/>
      <c r="K8" s="6"/>
    </row>
    <row r="9" spans="1:20">
      <c r="B9" s="462" t="s">
        <v>1182</v>
      </c>
      <c r="D9" s="6"/>
      <c r="E9" s="6"/>
      <c r="F9" s="6"/>
      <c r="G9" s="6"/>
      <c r="H9" s="6"/>
      <c r="I9" s="6"/>
      <c r="J9" s="6"/>
      <c r="K9" s="6"/>
    </row>
    <row r="10" spans="1:20" s="389" customFormat="1" ht="15" customHeight="1">
      <c r="A10" s="235"/>
      <c r="B10" s="1392" t="s">
        <v>1236</v>
      </c>
      <c r="C10" s="1392"/>
      <c r="D10" s="1393"/>
      <c r="E10" s="468" t="s">
        <v>1232</v>
      </c>
      <c r="F10" s="1412" t="str">
        <f>'15Restaura'!$F$10</f>
        <v>Acuerdo 005 del 22 de mayo de 2020 (Por medio del cual se aprueba el Plan de Accion Institucional 2020 -2023)</v>
      </c>
      <c r="G10" s="1412"/>
      <c r="H10" s="1412"/>
      <c r="I10" s="1412"/>
      <c r="J10" s="1412"/>
      <c r="K10" s="1412"/>
      <c r="L10" s="1412"/>
      <c r="M10" s="1412"/>
      <c r="N10" s="1412"/>
      <c r="O10" s="1412"/>
      <c r="P10" s="1412"/>
      <c r="Q10" s="1412"/>
      <c r="R10" s="1412"/>
      <c r="S10" s="464"/>
      <c r="T10" s="464"/>
    </row>
    <row r="11" spans="1:20" s="389" customFormat="1" ht="14.45" customHeight="1">
      <c r="A11" s="235"/>
      <c r="B11" s="465"/>
      <c r="C11" s="466"/>
      <c r="D11" s="467" t="s">
        <v>2097</v>
      </c>
      <c r="E11" s="1154" t="s">
        <v>1234</v>
      </c>
      <c r="F11" s="1412" t="str">
        <f>'15Restaura'!$F$10</f>
        <v>Acuerdo 005 del 22 de mayo de 2020 (Por medio del cual se aprueba el Plan de Accion Institucional 2020 -2023)</v>
      </c>
      <c r="G11" s="1412"/>
      <c r="H11" s="1412"/>
      <c r="I11" s="1412"/>
      <c r="J11" s="1412"/>
      <c r="K11" s="1412"/>
      <c r="L11" s="1412"/>
      <c r="M11" s="1412"/>
      <c r="N11" s="1412"/>
      <c r="O11" s="1412"/>
      <c r="P11" s="1412"/>
      <c r="Q11" s="1412"/>
      <c r="R11" s="1412"/>
    </row>
    <row r="12" spans="1:20" s="389" customFormat="1" ht="23.45" customHeight="1">
      <c r="A12" s="235"/>
      <c r="B12" s="462"/>
      <c r="C12" s="292"/>
      <c r="D12" s="467" t="s">
        <v>2096</v>
      </c>
      <c r="E12" s="1398"/>
      <c r="F12" s="1398"/>
      <c r="G12" s="1398"/>
      <c r="H12" s="1398"/>
      <c r="I12" s="1398"/>
      <c r="J12" s="1398"/>
      <c r="K12" s="1398"/>
      <c r="L12" s="1398"/>
      <c r="M12" s="1398"/>
      <c r="N12" s="1398"/>
      <c r="O12" s="1398"/>
      <c r="P12" s="1398"/>
      <c r="Q12" s="1398"/>
      <c r="R12" s="1398"/>
    </row>
    <row r="13" spans="1:20" s="389" customFormat="1" ht="21.95" customHeight="1">
      <c r="A13" s="235"/>
      <c r="B13" s="462"/>
      <c r="C13" s="292"/>
      <c r="D13" s="467" t="s">
        <v>1238</v>
      </c>
      <c r="E13" s="1395"/>
      <c r="F13" s="1396"/>
      <c r="G13" s="1396"/>
      <c r="H13" s="1396"/>
      <c r="I13" s="1396"/>
      <c r="J13" s="1396"/>
      <c r="K13" s="1396"/>
      <c r="L13" s="1396"/>
      <c r="M13" s="1396"/>
      <c r="N13" s="1396"/>
      <c r="O13" s="1396"/>
      <c r="P13" s="1396"/>
      <c r="Q13" s="1396"/>
      <c r="R13" s="1397"/>
    </row>
    <row r="14" spans="1:20" s="389" customFormat="1" ht="6.95" customHeight="1" thickBot="1">
      <c r="B14" s="462"/>
      <c r="C14" s="86"/>
      <c r="D14" s="6"/>
      <c r="E14" s="6"/>
      <c r="F14" s="6"/>
      <c r="G14" s="6"/>
      <c r="H14" s="6"/>
      <c r="I14" s="6"/>
      <c r="J14" s="6"/>
      <c r="K14" s="6"/>
    </row>
    <row r="15" spans="1:20" ht="15" customHeight="1" thickTop="1">
      <c r="B15" s="1456" t="s">
        <v>2</v>
      </c>
      <c r="C15" s="88"/>
      <c r="D15" s="1458" t="s">
        <v>336</v>
      </c>
      <c r="E15" s="1459"/>
      <c r="F15" s="1459"/>
      <c r="G15" s="1459"/>
      <c r="H15" s="1459"/>
      <c r="I15" s="1459"/>
      <c r="J15" s="1459"/>
      <c r="K15" s="1460"/>
    </row>
    <row r="16" spans="1:20" ht="15.75" thickBot="1">
      <c r="B16" s="1457"/>
      <c r="C16" s="91"/>
      <c r="D16" s="1561" t="s">
        <v>616</v>
      </c>
      <c r="E16" s="1562"/>
      <c r="F16" s="1562"/>
      <c r="G16" s="1562"/>
      <c r="H16" s="1562"/>
      <c r="I16" s="1562"/>
      <c r="J16" s="1562"/>
      <c r="K16" s="1563"/>
    </row>
    <row r="17" spans="2:11" ht="15.75" thickBot="1">
      <c r="B17" s="1457"/>
      <c r="C17" s="89" t="s">
        <v>19</v>
      </c>
      <c r="D17" s="38" t="s">
        <v>253</v>
      </c>
      <c r="E17" s="38" t="s">
        <v>20</v>
      </c>
      <c r="F17" s="38" t="s">
        <v>21</v>
      </c>
      <c r="G17" s="38" t="s">
        <v>22</v>
      </c>
      <c r="H17" s="38" t="s">
        <v>23</v>
      </c>
      <c r="I17" s="38" t="s">
        <v>254</v>
      </c>
      <c r="K17" s="22"/>
    </row>
    <row r="18" spans="2:11" ht="24.75" thickBot="1">
      <c r="B18" s="1457"/>
      <c r="C18" s="90" t="s">
        <v>152</v>
      </c>
      <c r="D18" s="40" t="s">
        <v>617</v>
      </c>
      <c r="E18" s="7"/>
      <c r="F18" s="7"/>
      <c r="G18" s="7"/>
      <c r="H18" s="7"/>
      <c r="I18" s="42">
        <f>SUM(E18:H18)</f>
        <v>0</v>
      </c>
      <c r="K18" s="22"/>
    </row>
    <row r="19" spans="2:11" ht="15.75" thickBot="1">
      <c r="B19" s="1457"/>
      <c r="C19" s="91"/>
      <c r="D19" s="1499" t="s">
        <v>618</v>
      </c>
      <c r="E19" s="1500"/>
      <c r="F19" s="1500"/>
      <c r="G19" s="1500"/>
      <c r="H19" s="1500"/>
      <c r="I19" s="1500"/>
      <c r="J19" s="1500"/>
      <c r="K19" s="1501"/>
    </row>
    <row r="20" spans="2:11" ht="15" customHeight="1" thickBot="1">
      <c r="B20" s="409"/>
      <c r="C20" s="1541" t="s">
        <v>19</v>
      </c>
      <c r="D20" s="1447" t="s">
        <v>270</v>
      </c>
      <c r="E20" s="1447" t="s">
        <v>619</v>
      </c>
      <c r="F20" s="1453" t="s">
        <v>620</v>
      </c>
      <c r="G20" s="1454"/>
      <c r="H20" s="1454"/>
      <c r="I20" s="1454"/>
      <c r="J20" s="1455"/>
      <c r="K20" s="114"/>
    </row>
    <row r="21" spans="2:11" ht="34.5" thickBot="1">
      <c r="B21" s="409"/>
      <c r="C21" s="1542"/>
      <c r="D21" s="1449"/>
      <c r="E21" s="1449"/>
      <c r="F21" s="65" t="s">
        <v>621</v>
      </c>
      <c r="G21" s="65" t="s">
        <v>622</v>
      </c>
      <c r="H21" s="65" t="s">
        <v>623</v>
      </c>
      <c r="I21" s="65" t="s">
        <v>624</v>
      </c>
      <c r="J21" s="65" t="s">
        <v>55</v>
      </c>
      <c r="K21" s="115"/>
    </row>
    <row r="22" spans="2:11" ht="36.75" thickBot="1">
      <c r="B22" s="409"/>
      <c r="C22" s="31"/>
      <c r="D22" s="31"/>
      <c r="E22" s="447" t="s">
        <v>625</v>
      </c>
      <c r="F22" s="32"/>
      <c r="G22" s="32"/>
      <c r="H22" s="32"/>
      <c r="I22" s="143">
        <f>+G22*H22</f>
        <v>0</v>
      </c>
      <c r="J22" s="448"/>
      <c r="K22" s="115"/>
    </row>
    <row r="23" spans="2:11" ht="36.75" thickBot="1">
      <c r="B23" s="409"/>
      <c r="C23" s="361"/>
      <c r="D23" s="31"/>
      <c r="E23" s="447" t="s">
        <v>626</v>
      </c>
      <c r="F23" s="32"/>
      <c r="G23" s="32"/>
      <c r="H23" s="32"/>
      <c r="I23" s="143">
        <f t="shared" ref="I23:I29" si="0">+G23*H23</f>
        <v>0</v>
      </c>
      <c r="J23" s="30"/>
      <c r="K23" s="115"/>
    </row>
    <row r="24" spans="2:11" ht="60.75" thickBot="1">
      <c r="B24" s="409"/>
      <c r="C24" s="361"/>
      <c r="D24" s="31"/>
      <c r="E24" s="447" t="s">
        <v>627</v>
      </c>
      <c r="F24" s="32"/>
      <c r="G24" s="32"/>
      <c r="H24" s="32"/>
      <c r="I24" s="143">
        <f t="shared" si="0"/>
        <v>0</v>
      </c>
      <c r="J24" s="30"/>
      <c r="K24" s="115"/>
    </row>
    <row r="25" spans="2:11" ht="36.75" thickBot="1">
      <c r="B25" s="409"/>
      <c r="C25" s="361"/>
      <c r="D25" s="31"/>
      <c r="E25" s="447" t="s">
        <v>628</v>
      </c>
      <c r="F25" s="32"/>
      <c r="G25" s="32"/>
      <c r="H25" s="32"/>
      <c r="I25" s="143">
        <f t="shared" si="0"/>
        <v>0</v>
      </c>
      <c r="J25" s="30"/>
      <c r="K25" s="115"/>
    </row>
    <row r="26" spans="2:11" ht="36.75" thickBot="1">
      <c r="B26" s="409"/>
      <c r="C26" s="361"/>
      <c r="D26" s="31"/>
      <c r="E26" s="447" t="s">
        <v>629</v>
      </c>
      <c r="F26" s="32"/>
      <c r="G26" s="32"/>
      <c r="H26" s="32"/>
      <c r="I26" s="143">
        <f t="shared" si="0"/>
        <v>0</v>
      </c>
      <c r="J26" s="30"/>
      <c r="K26" s="115"/>
    </row>
    <row r="27" spans="2:11" ht="15.75" thickBot="1">
      <c r="B27" s="409"/>
      <c r="C27" s="361"/>
      <c r="D27" s="31"/>
      <c r="E27" s="31"/>
      <c r="F27" s="32"/>
      <c r="G27" s="32"/>
      <c r="H27" s="32"/>
      <c r="I27" s="143">
        <f t="shared" si="0"/>
        <v>0</v>
      </c>
      <c r="J27" s="30"/>
      <c r="K27" s="115"/>
    </row>
    <row r="28" spans="2:11" ht="15.75" thickBot="1">
      <c r="B28" s="409"/>
      <c r="C28" s="361"/>
      <c r="D28" s="31"/>
      <c r="E28" s="31"/>
      <c r="F28" s="32"/>
      <c r="G28" s="32"/>
      <c r="H28" s="32"/>
      <c r="I28" s="143">
        <f t="shared" si="0"/>
        <v>0</v>
      </c>
      <c r="J28" s="30"/>
      <c r="K28" s="115"/>
    </row>
    <row r="29" spans="2:11" ht="15.75" thickBot="1">
      <c r="B29" s="409"/>
      <c r="C29" s="361"/>
      <c r="D29" s="31"/>
      <c r="E29" s="31"/>
      <c r="F29" s="32"/>
      <c r="G29" s="32"/>
      <c r="H29" s="32"/>
      <c r="I29" s="143">
        <f t="shared" si="0"/>
        <v>0</v>
      </c>
      <c r="J29" s="30"/>
      <c r="K29" s="115"/>
    </row>
    <row r="30" spans="2:11" ht="15.75" thickBot="1">
      <c r="B30" s="409"/>
      <c r="C30" s="90"/>
      <c r="D30" s="39" t="s">
        <v>151</v>
      </c>
      <c r="E30" s="39"/>
      <c r="F30" s="39"/>
      <c r="G30" s="39"/>
      <c r="H30" s="199" t="str">
        <f>Formulas!D20</f>
        <v>ERROR: LA SUMA DE LA COLUMNA DEBE SER 100%</v>
      </c>
      <c r="I30" s="143">
        <f>Formulas!E20</f>
        <v>0</v>
      </c>
      <c r="J30" s="40"/>
      <c r="K30" s="116"/>
    </row>
    <row r="31" spans="2:11" ht="15.75" thickBot="1">
      <c r="B31" s="410"/>
      <c r="C31" s="92"/>
      <c r="D31" s="1453" t="s">
        <v>630</v>
      </c>
      <c r="E31" s="1454"/>
      <c r="F31" s="1454"/>
      <c r="G31" s="1454"/>
      <c r="H31" s="1454"/>
      <c r="I31" s="1454"/>
      <c r="J31" s="1454"/>
      <c r="K31" s="1455"/>
    </row>
    <row r="32" spans="2:11" ht="24" customHeight="1" thickBot="1">
      <c r="B32" s="47" t="s">
        <v>34</v>
      </c>
      <c r="C32" s="92"/>
      <c r="D32" s="1453" t="s">
        <v>631</v>
      </c>
      <c r="E32" s="1454"/>
      <c r="F32" s="1454"/>
      <c r="G32" s="1454"/>
      <c r="H32" s="1454"/>
      <c r="I32" s="1454"/>
      <c r="J32" s="1454"/>
      <c r="K32" s="1455"/>
    </row>
    <row r="33" spans="2:11" ht="36" customHeight="1" thickBot="1">
      <c r="B33" s="47" t="s">
        <v>36</v>
      </c>
      <c r="C33" s="92"/>
      <c r="D33" s="1453" t="s">
        <v>632</v>
      </c>
      <c r="E33" s="1454"/>
      <c r="F33" s="1454"/>
      <c r="G33" s="1454"/>
      <c r="H33" s="1454"/>
      <c r="I33" s="1454"/>
      <c r="J33" s="1454"/>
      <c r="K33" s="1455"/>
    </row>
    <row r="34" spans="2:11" ht="15.75" thickBot="1">
      <c r="B34" s="2"/>
      <c r="C34" s="75"/>
      <c r="D34" s="6"/>
      <c r="E34" s="6"/>
      <c r="F34" s="6"/>
      <c r="G34" s="6"/>
      <c r="H34" s="6"/>
      <c r="I34" s="6"/>
      <c r="J34" s="6"/>
      <c r="K34" s="6"/>
    </row>
    <row r="35" spans="2:11" ht="24" customHeight="1" thickBot="1">
      <c r="B35" s="1450" t="s">
        <v>38</v>
      </c>
      <c r="C35" s="1451"/>
      <c r="D35" s="1451"/>
      <c r="E35" s="1452"/>
      <c r="F35" s="6"/>
      <c r="G35" s="6"/>
      <c r="H35" s="6"/>
      <c r="I35" s="6"/>
      <c r="J35" s="6"/>
      <c r="K35" s="6"/>
    </row>
    <row r="36" spans="2:11" ht="15.75" thickBot="1">
      <c r="B36" s="1447">
        <v>1</v>
      </c>
      <c r="C36" s="93"/>
      <c r="D36" s="48" t="s">
        <v>39</v>
      </c>
      <c r="E36" s="31"/>
      <c r="F36" s="6"/>
      <c r="G36" s="6"/>
      <c r="H36" s="6"/>
      <c r="I36" s="6"/>
      <c r="J36" s="6"/>
      <c r="K36" s="6"/>
    </row>
    <row r="37" spans="2:11" ht="15.75" thickBot="1">
      <c r="B37" s="1448"/>
      <c r="C37" s="93"/>
      <c r="D37" s="40" t="s">
        <v>40</v>
      </c>
      <c r="E37" s="31"/>
      <c r="F37" s="6"/>
      <c r="G37" s="6"/>
      <c r="H37" s="6"/>
      <c r="I37" s="6"/>
      <c r="J37" s="6"/>
      <c r="K37" s="6"/>
    </row>
    <row r="38" spans="2:11" ht="15.75" thickBot="1">
      <c r="B38" s="1448"/>
      <c r="C38" s="93"/>
      <c r="D38" s="40" t="s">
        <v>41</v>
      </c>
      <c r="E38" s="31"/>
      <c r="F38" s="6"/>
      <c r="G38" s="6"/>
      <c r="H38" s="6"/>
      <c r="I38" s="6"/>
      <c r="J38" s="6"/>
      <c r="K38" s="6"/>
    </row>
    <row r="39" spans="2:11" ht="15.75" thickBot="1">
      <c r="B39" s="1448"/>
      <c r="C39" s="93"/>
      <c r="D39" s="40" t="s">
        <v>42</v>
      </c>
      <c r="E39" s="31"/>
      <c r="F39" s="6"/>
      <c r="G39" s="6"/>
      <c r="H39" s="6"/>
      <c r="I39" s="6"/>
      <c r="J39" s="6"/>
      <c r="K39" s="6"/>
    </row>
    <row r="40" spans="2:11" ht="15.75" thickBot="1">
      <c r="B40" s="1448"/>
      <c r="C40" s="93"/>
      <c r="D40" s="40" t="s">
        <v>43</v>
      </c>
      <c r="E40" s="31"/>
      <c r="F40" s="6"/>
      <c r="G40" s="6"/>
      <c r="H40" s="6"/>
      <c r="I40" s="6"/>
      <c r="J40" s="6"/>
      <c r="K40" s="6"/>
    </row>
    <row r="41" spans="2:11" ht="15.75" thickBot="1">
      <c r="B41" s="1448"/>
      <c r="C41" s="93"/>
      <c r="D41" s="40" t="s">
        <v>44</v>
      </c>
      <c r="E41" s="31"/>
      <c r="F41" s="6"/>
      <c r="G41" s="6"/>
      <c r="H41" s="6"/>
      <c r="I41" s="6"/>
      <c r="J41" s="6"/>
      <c r="K41" s="6"/>
    </row>
    <row r="42" spans="2:11" ht="15.75" thickBot="1">
      <c r="B42" s="1449"/>
      <c r="C42" s="3"/>
      <c r="D42" s="40" t="s">
        <v>45</v>
      </c>
      <c r="E42" s="31"/>
      <c r="F42" s="6"/>
      <c r="G42" s="6"/>
      <c r="H42" s="6"/>
      <c r="I42" s="6"/>
      <c r="J42" s="6"/>
      <c r="K42" s="6"/>
    </row>
    <row r="43" spans="2:11" ht="15.75" thickBot="1">
      <c r="B43" s="2"/>
      <c r="C43" s="75"/>
      <c r="D43" s="6"/>
      <c r="E43" s="6"/>
      <c r="F43" s="6"/>
      <c r="G43" s="6"/>
      <c r="H43" s="6"/>
      <c r="I43" s="6"/>
      <c r="J43" s="6"/>
      <c r="K43" s="6"/>
    </row>
    <row r="44" spans="2:11" ht="15.75" thickBot="1">
      <c r="B44" s="1450" t="s">
        <v>46</v>
      </c>
      <c r="C44" s="1451"/>
      <c r="D44" s="1451"/>
      <c r="E44" s="1452"/>
      <c r="F44" s="6"/>
      <c r="G44" s="6"/>
      <c r="H44" s="6"/>
      <c r="I44" s="6"/>
      <c r="J44" s="6"/>
      <c r="K44" s="6"/>
    </row>
    <row r="45" spans="2:11" ht="15.75" thickBot="1">
      <c r="B45" s="1447">
        <v>1</v>
      </c>
      <c r="C45" s="93"/>
      <c r="D45" s="48" t="s">
        <v>39</v>
      </c>
      <c r="E45" s="417" t="s">
        <v>47</v>
      </c>
      <c r="F45" s="6"/>
      <c r="G45" s="6"/>
      <c r="H45" s="6"/>
      <c r="I45" s="6"/>
      <c r="J45" s="6"/>
      <c r="K45" s="6"/>
    </row>
    <row r="46" spans="2:11" ht="15.75" thickBot="1">
      <c r="B46" s="1448"/>
      <c r="C46" s="93"/>
      <c r="D46" s="40" t="s">
        <v>40</v>
      </c>
      <c r="E46" s="417" t="s">
        <v>48</v>
      </c>
      <c r="F46" s="6"/>
      <c r="G46" s="6"/>
      <c r="H46" s="6"/>
      <c r="I46" s="6"/>
      <c r="J46" s="6"/>
      <c r="K46" s="6"/>
    </row>
    <row r="47" spans="2:11" ht="15.75" thickBot="1">
      <c r="B47" s="1448"/>
      <c r="C47" s="93"/>
      <c r="D47" s="40" t="s">
        <v>41</v>
      </c>
      <c r="E47" s="303"/>
      <c r="F47" s="6"/>
      <c r="G47" s="6"/>
      <c r="H47" s="6"/>
      <c r="I47" s="6"/>
      <c r="J47" s="6"/>
      <c r="K47" s="6"/>
    </row>
    <row r="48" spans="2:11" ht="15.75" thickBot="1">
      <c r="B48" s="1448"/>
      <c r="C48" s="93"/>
      <c r="D48" s="40" t="s">
        <v>42</v>
      </c>
      <c r="E48" s="303"/>
      <c r="F48" s="6"/>
      <c r="G48" s="6"/>
      <c r="H48" s="6"/>
      <c r="I48" s="6"/>
      <c r="J48" s="6"/>
      <c r="K48" s="6"/>
    </row>
    <row r="49" spans="2:11" ht="15.75" thickBot="1">
      <c r="B49" s="1448"/>
      <c r="C49" s="93"/>
      <c r="D49" s="40" t="s">
        <v>43</v>
      </c>
      <c r="E49" s="303"/>
      <c r="F49" s="6"/>
      <c r="G49" s="6"/>
      <c r="H49" s="6"/>
      <c r="I49" s="6"/>
      <c r="J49" s="6"/>
      <c r="K49" s="6"/>
    </row>
    <row r="50" spans="2:11" ht="15.75" thickBot="1">
      <c r="B50" s="1448"/>
      <c r="C50" s="93"/>
      <c r="D50" s="40" t="s">
        <v>44</v>
      </c>
      <c r="E50" s="303"/>
      <c r="F50" s="6"/>
      <c r="G50" s="6"/>
      <c r="H50" s="6"/>
      <c r="I50" s="6"/>
      <c r="J50" s="6"/>
      <c r="K50" s="6"/>
    </row>
    <row r="51" spans="2:11" ht="15.75" thickBot="1">
      <c r="B51" s="1449"/>
      <c r="C51" s="3"/>
      <c r="D51" s="40" t="s">
        <v>45</v>
      </c>
      <c r="E51" s="303"/>
      <c r="F51" s="6"/>
      <c r="G51" s="6"/>
      <c r="H51" s="6"/>
      <c r="I51" s="6"/>
      <c r="J51" s="6"/>
      <c r="K51" s="6"/>
    </row>
    <row r="52" spans="2:11" ht="15.75" thickBot="1">
      <c r="B52" s="2"/>
      <c r="C52" s="75"/>
      <c r="D52" s="6"/>
      <c r="E52" s="6"/>
      <c r="F52" s="6"/>
      <c r="G52" s="6"/>
      <c r="H52" s="6"/>
      <c r="I52" s="6"/>
      <c r="J52" s="6"/>
      <c r="K52" s="6"/>
    </row>
    <row r="53" spans="2:11" ht="15" customHeight="1" thickBot="1">
      <c r="B53" s="123" t="s">
        <v>49</v>
      </c>
      <c r="C53" s="124"/>
      <c r="D53" s="124"/>
      <c r="E53" s="125"/>
      <c r="G53" s="6"/>
      <c r="H53" s="6"/>
      <c r="I53" s="6"/>
      <c r="J53" s="6"/>
      <c r="K53" s="6"/>
    </row>
    <row r="54" spans="2:11" ht="24.75" thickBot="1">
      <c r="B54" s="47" t="s">
        <v>50</v>
      </c>
      <c r="C54" s="40" t="s">
        <v>51</v>
      </c>
      <c r="D54" s="40" t="s">
        <v>52</v>
      </c>
      <c r="E54" s="40" t="s">
        <v>53</v>
      </c>
      <c r="F54" s="6"/>
      <c r="G54" s="6"/>
      <c r="H54" s="6"/>
      <c r="I54" s="6"/>
      <c r="J54" s="6"/>
    </row>
    <row r="55" spans="2:11" ht="72.75" thickBot="1">
      <c r="B55" s="49">
        <v>42401</v>
      </c>
      <c r="C55" s="40">
        <v>0.01</v>
      </c>
      <c r="D55" s="40" t="s">
        <v>633</v>
      </c>
      <c r="E55" s="40"/>
      <c r="F55" s="6"/>
      <c r="G55" s="6"/>
      <c r="H55" s="6"/>
      <c r="I55" s="6"/>
      <c r="J55" s="6"/>
    </row>
    <row r="56" spans="2:11" ht="15.75" thickBot="1">
      <c r="B56" s="2"/>
      <c r="C56" s="75"/>
      <c r="D56" s="6"/>
      <c r="E56" s="6"/>
      <c r="F56" s="6"/>
      <c r="G56" s="6"/>
      <c r="H56" s="6"/>
      <c r="I56" s="6"/>
      <c r="J56" s="6"/>
      <c r="K56" s="6"/>
    </row>
    <row r="57" spans="2:11" ht="15.75" thickBot="1">
      <c r="B57" s="416" t="s">
        <v>55</v>
      </c>
      <c r="C57" s="95"/>
      <c r="D57" s="6"/>
      <c r="E57" s="6"/>
      <c r="F57" s="6"/>
      <c r="G57" s="6"/>
      <c r="H57" s="6"/>
      <c r="I57" s="6"/>
      <c r="J57" s="6"/>
      <c r="K57" s="6"/>
    </row>
    <row r="58" spans="2:11">
      <c r="B58" s="1555"/>
      <c r="C58" s="1556"/>
      <c r="D58" s="1556"/>
      <c r="E58" s="1557"/>
      <c r="F58" s="6"/>
      <c r="G58" s="6"/>
      <c r="H58" s="6"/>
      <c r="I58" s="6"/>
      <c r="J58" s="6"/>
      <c r="K58" s="6"/>
    </row>
    <row r="59" spans="2:11" ht="15.75" thickBot="1">
      <c r="B59" s="1558"/>
      <c r="C59" s="1559"/>
      <c r="D59" s="1559"/>
      <c r="E59" s="1560"/>
      <c r="F59" s="6"/>
      <c r="G59" s="6"/>
      <c r="H59" s="6"/>
      <c r="I59" s="6"/>
      <c r="J59" s="6"/>
      <c r="K59" s="6"/>
    </row>
    <row r="60" spans="2:11" ht="15.75" thickBot="1">
      <c r="B60" s="6"/>
      <c r="D60" s="6"/>
      <c r="E60" s="6"/>
      <c r="F60" s="6"/>
      <c r="G60" s="6"/>
      <c r="H60" s="6"/>
      <c r="I60" s="6"/>
      <c r="J60" s="6"/>
      <c r="K60" s="6"/>
    </row>
    <row r="61" spans="2:11" ht="15.75" thickBot="1">
      <c r="B61" s="1450" t="s">
        <v>450</v>
      </c>
      <c r="C61" s="1451"/>
      <c r="D61" s="1452"/>
      <c r="E61" s="6"/>
      <c r="F61" s="6"/>
      <c r="G61" s="6"/>
      <c r="H61" s="6"/>
      <c r="I61" s="6"/>
      <c r="J61" s="6"/>
      <c r="K61" s="6"/>
    </row>
    <row r="62" spans="2:11" ht="72.75" thickBot="1">
      <c r="B62" s="47" t="s">
        <v>57</v>
      </c>
      <c r="C62" s="3"/>
      <c r="D62" s="40" t="s">
        <v>586</v>
      </c>
      <c r="E62" s="6"/>
      <c r="F62" s="6"/>
      <c r="G62" s="6"/>
      <c r="H62" s="6"/>
      <c r="I62" s="6"/>
      <c r="J62" s="6"/>
      <c r="K62" s="6"/>
    </row>
    <row r="63" spans="2:11">
      <c r="B63" s="1447" t="s">
        <v>59</v>
      </c>
      <c r="C63" s="93"/>
      <c r="D63" s="53" t="s">
        <v>60</v>
      </c>
      <c r="E63" s="6"/>
      <c r="F63" s="6"/>
      <c r="G63" s="6"/>
      <c r="H63" s="6"/>
      <c r="I63" s="6"/>
      <c r="J63" s="6"/>
      <c r="K63" s="6"/>
    </row>
    <row r="64" spans="2:11" ht="132">
      <c r="B64" s="1448"/>
      <c r="C64" s="93"/>
      <c r="D64" s="46" t="s">
        <v>587</v>
      </c>
      <c r="E64" s="6"/>
      <c r="F64" s="6"/>
      <c r="G64" s="6"/>
      <c r="H64" s="6"/>
      <c r="I64" s="6"/>
      <c r="J64" s="6"/>
      <c r="K64" s="6"/>
    </row>
    <row r="65" spans="2:11">
      <c r="B65" s="1448"/>
      <c r="C65" s="93"/>
      <c r="D65" s="53" t="s">
        <v>63</v>
      </c>
      <c r="E65" s="6"/>
      <c r="F65" s="6"/>
      <c r="G65" s="6"/>
      <c r="H65" s="6"/>
      <c r="I65" s="6"/>
      <c r="J65" s="6"/>
      <c r="K65" s="6"/>
    </row>
    <row r="66" spans="2:11" ht="24">
      <c r="B66" s="1448"/>
      <c r="C66" s="93"/>
      <c r="D66" s="46" t="s">
        <v>588</v>
      </c>
      <c r="E66" s="6"/>
      <c r="F66" s="6"/>
      <c r="G66" s="6"/>
      <c r="H66" s="6"/>
      <c r="I66" s="6"/>
      <c r="J66" s="6"/>
      <c r="K66" s="6"/>
    </row>
    <row r="67" spans="2:11" ht="24">
      <c r="B67" s="1448"/>
      <c r="C67" s="93"/>
      <c r="D67" s="46" t="s">
        <v>589</v>
      </c>
      <c r="E67" s="6"/>
      <c r="F67" s="6"/>
      <c r="G67" s="6"/>
      <c r="H67" s="6"/>
      <c r="I67" s="6"/>
      <c r="J67" s="6"/>
      <c r="K67" s="6"/>
    </row>
    <row r="68" spans="2:11" ht="24">
      <c r="B68" s="1448"/>
      <c r="C68" s="93"/>
      <c r="D68" s="46" t="s">
        <v>590</v>
      </c>
      <c r="E68" s="6"/>
      <c r="F68" s="6"/>
      <c r="G68" s="6"/>
      <c r="H68" s="6"/>
      <c r="I68" s="6"/>
      <c r="J68" s="6"/>
      <c r="K68" s="6"/>
    </row>
    <row r="69" spans="2:11">
      <c r="B69" s="1448"/>
      <c r="C69" s="93"/>
      <c r="D69" s="46" t="s">
        <v>591</v>
      </c>
      <c r="E69" s="6"/>
      <c r="F69" s="6"/>
      <c r="G69" s="6"/>
      <c r="H69" s="6"/>
      <c r="I69" s="6"/>
      <c r="J69" s="6"/>
      <c r="K69" s="6"/>
    </row>
    <row r="70" spans="2:11">
      <c r="B70" s="1448"/>
      <c r="C70" s="93"/>
      <c r="D70" s="46" t="s">
        <v>592</v>
      </c>
      <c r="E70" s="6"/>
      <c r="F70" s="6"/>
      <c r="G70" s="6"/>
      <c r="H70" s="6"/>
      <c r="I70" s="6"/>
      <c r="J70" s="6"/>
      <c r="K70" s="6"/>
    </row>
    <row r="71" spans="2:11">
      <c r="B71" s="1448"/>
      <c r="C71" s="93"/>
      <c r="D71" s="46" t="s">
        <v>593</v>
      </c>
      <c r="E71" s="6"/>
      <c r="F71" s="6"/>
      <c r="G71" s="6"/>
      <c r="H71" s="6"/>
      <c r="I71" s="6"/>
      <c r="J71" s="6"/>
      <c r="K71" s="6"/>
    </row>
    <row r="72" spans="2:11">
      <c r="B72" s="1448"/>
      <c r="C72" s="93"/>
      <c r="D72" s="53" t="s">
        <v>288</v>
      </c>
      <c r="E72" s="6"/>
      <c r="F72" s="6"/>
      <c r="G72" s="6"/>
      <c r="H72" s="6"/>
      <c r="I72" s="6"/>
      <c r="J72" s="6"/>
      <c r="K72" s="6"/>
    </row>
    <row r="73" spans="2:11" ht="48">
      <c r="B73" s="1448"/>
      <c r="C73" s="93"/>
      <c r="D73" s="46" t="s">
        <v>594</v>
      </c>
      <c r="E73" s="6"/>
      <c r="F73" s="6"/>
      <c r="G73" s="6"/>
      <c r="H73" s="6"/>
      <c r="I73" s="6"/>
      <c r="J73" s="6"/>
      <c r="K73" s="6"/>
    </row>
    <row r="74" spans="2:11" ht="15.75" thickBot="1">
      <c r="B74" s="1449"/>
      <c r="C74" s="3"/>
      <c r="D74" s="68"/>
      <c r="E74" s="6"/>
      <c r="F74" s="6"/>
      <c r="G74" s="6"/>
      <c r="H74" s="6"/>
      <c r="I74" s="6"/>
      <c r="J74" s="6"/>
      <c r="K74" s="6"/>
    </row>
    <row r="75" spans="2:11">
      <c r="B75" s="1447" t="s">
        <v>72</v>
      </c>
      <c r="C75" s="98"/>
      <c r="D75" s="1447"/>
      <c r="E75" s="6"/>
      <c r="F75" s="6"/>
      <c r="G75" s="6"/>
      <c r="H75" s="6"/>
      <c r="I75" s="6"/>
      <c r="J75" s="6"/>
      <c r="K75" s="6"/>
    </row>
    <row r="76" spans="2:11" ht="15.75" thickBot="1">
      <c r="B76" s="1449"/>
      <c r="C76" s="99"/>
      <c r="D76" s="1449"/>
      <c r="E76" s="6"/>
      <c r="F76" s="6"/>
      <c r="G76" s="6"/>
      <c r="H76" s="6"/>
      <c r="I76" s="6"/>
      <c r="J76" s="6"/>
      <c r="K76" s="6"/>
    </row>
    <row r="77" spans="2:11" ht="15.75" thickBot="1">
      <c r="B77" s="37"/>
      <c r="C77" s="87"/>
      <c r="D77" s="6"/>
      <c r="E77" s="6"/>
      <c r="F77" s="6"/>
      <c r="G77" s="6"/>
      <c r="H77" s="6"/>
      <c r="I77" s="6"/>
      <c r="J77" s="6"/>
      <c r="K77" s="6"/>
    </row>
    <row r="78" spans="2:11" ht="180">
      <c r="B78" s="1447" t="s">
        <v>73</v>
      </c>
      <c r="C78" s="104"/>
      <c r="D78" s="63" t="s">
        <v>595</v>
      </c>
      <c r="E78" s="6"/>
      <c r="F78" s="6"/>
      <c r="G78" s="6"/>
      <c r="H78" s="6"/>
      <c r="I78" s="6"/>
      <c r="J78" s="6"/>
      <c r="K78" s="6"/>
    </row>
    <row r="79" spans="2:11" ht="204">
      <c r="B79" s="1448"/>
      <c r="C79" s="93"/>
      <c r="D79" s="46" t="s">
        <v>596</v>
      </c>
      <c r="E79" s="6"/>
      <c r="F79" s="6"/>
      <c r="G79" s="6"/>
      <c r="H79" s="6"/>
      <c r="I79" s="6"/>
      <c r="J79" s="6"/>
      <c r="K79" s="6"/>
    </row>
    <row r="80" spans="2:11" ht="48">
      <c r="B80" s="1448"/>
      <c r="C80" s="93"/>
      <c r="D80" s="46" t="s">
        <v>597</v>
      </c>
      <c r="E80" s="6"/>
      <c r="F80" s="6"/>
      <c r="G80" s="6"/>
      <c r="H80" s="6"/>
      <c r="I80" s="6"/>
      <c r="J80" s="6"/>
      <c r="K80" s="6"/>
    </row>
    <row r="81" spans="2:11" ht="24">
      <c r="B81" s="1448"/>
      <c r="C81" s="93"/>
      <c r="D81" s="46" t="s">
        <v>598</v>
      </c>
      <c r="E81" s="6"/>
      <c r="F81" s="6"/>
      <c r="G81" s="6"/>
      <c r="H81" s="6"/>
      <c r="I81" s="6"/>
      <c r="J81" s="6"/>
      <c r="K81" s="6"/>
    </row>
    <row r="82" spans="2:11" ht="60">
      <c r="B82" s="1448"/>
      <c r="C82" s="93"/>
      <c r="D82" s="46" t="s">
        <v>599</v>
      </c>
      <c r="E82" s="6"/>
      <c r="F82" s="6"/>
      <c r="G82" s="6"/>
      <c r="H82" s="6"/>
      <c r="I82" s="6"/>
      <c r="J82" s="6"/>
      <c r="K82" s="6"/>
    </row>
    <row r="83" spans="2:11" ht="24">
      <c r="B83" s="1448"/>
      <c r="C83" s="93"/>
      <c r="D83" s="46" t="s">
        <v>600</v>
      </c>
      <c r="E83" s="6"/>
      <c r="F83" s="6"/>
      <c r="G83" s="6"/>
      <c r="H83" s="6"/>
      <c r="I83" s="6"/>
      <c r="J83" s="6"/>
      <c r="K83" s="6"/>
    </row>
    <row r="84" spans="2:11" ht="24">
      <c r="B84" s="1448"/>
      <c r="C84" s="93"/>
      <c r="D84" s="46" t="s">
        <v>601</v>
      </c>
      <c r="E84" s="6"/>
      <c r="F84" s="6"/>
      <c r="G84" s="6"/>
      <c r="H84" s="6"/>
      <c r="I84" s="6"/>
      <c r="J84" s="6"/>
      <c r="K84" s="6"/>
    </row>
    <row r="85" spans="2:11" ht="36">
      <c r="B85" s="1448"/>
      <c r="C85" s="93"/>
      <c r="D85" s="46" t="s">
        <v>602</v>
      </c>
      <c r="E85" s="6"/>
      <c r="F85" s="6"/>
      <c r="G85" s="6"/>
      <c r="H85" s="6"/>
      <c r="I85" s="6"/>
      <c r="J85" s="6"/>
      <c r="K85" s="6"/>
    </row>
    <row r="86" spans="2:11" ht="24">
      <c r="B86" s="1448"/>
      <c r="C86" s="93"/>
      <c r="D86" s="46" t="s">
        <v>603</v>
      </c>
      <c r="E86" s="6"/>
      <c r="F86" s="6"/>
      <c r="G86" s="6"/>
      <c r="H86" s="6"/>
      <c r="I86" s="6"/>
      <c r="J86" s="6"/>
      <c r="K86" s="6"/>
    </row>
    <row r="87" spans="2:11" ht="24">
      <c r="B87" s="1448"/>
      <c r="C87" s="93"/>
      <c r="D87" s="46" t="s">
        <v>604</v>
      </c>
      <c r="E87" s="6"/>
      <c r="F87" s="6"/>
      <c r="G87" s="6"/>
      <c r="H87" s="6"/>
      <c r="I87" s="6"/>
      <c r="J87" s="6"/>
      <c r="K87" s="6"/>
    </row>
    <row r="88" spans="2:11" ht="24">
      <c r="B88" s="1448"/>
      <c r="C88" s="93"/>
      <c r="D88" s="46" t="s">
        <v>605</v>
      </c>
      <c r="E88" s="6"/>
      <c r="F88" s="6"/>
      <c r="G88" s="6"/>
      <c r="H88" s="6"/>
      <c r="I88" s="6"/>
      <c r="J88" s="6"/>
      <c r="K88" s="6"/>
    </row>
    <row r="89" spans="2:11" ht="36">
      <c r="B89" s="1448"/>
      <c r="C89" s="93"/>
      <c r="D89" s="46" t="s">
        <v>606</v>
      </c>
      <c r="E89" s="6"/>
      <c r="F89" s="6"/>
      <c r="G89" s="6"/>
      <c r="H89" s="6"/>
      <c r="I89" s="6"/>
      <c r="J89" s="6"/>
      <c r="K89" s="6"/>
    </row>
    <row r="90" spans="2:11" ht="24">
      <c r="B90" s="1448"/>
      <c r="C90" s="93"/>
      <c r="D90" s="46" t="s">
        <v>607</v>
      </c>
      <c r="E90" s="6"/>
      <c r="F90" s="6"/>
      <c r="G90" s="6"/>
      <c r="H90" s="6"/>
      <c r="I90" s="6"/>
      <c r="J90" s="6"/>
      <c r="K90" s="6"/>
    </row>
    <row r="91" spans="2:11" ht="60.75" thickBot="1">
      <c r="B91" s="1449"/>
      <c r="C91" s="3"/>
      <c r="D91" s="40" t="s">
        <v>608</v>
      </c>
      <c r="E91" s="6"/>
      <c r="F91" s="6"/>
      <c r="G91" s="6"/>
      <c r="H91" s="6"/>
      <c r="I91" s="6"/>
      <c r="J91" s="6"/>
      <c r="K91" s="6"/>
    </row>
    <row r="92" spans="2:11" ht="36">
      <c r="B92" s="1447" t="s">
        <v>90</v>
      </c>
      <c r="C92" s="93"/>
      <c r="D92" s="53" t="s">
        <v>609</v>
      </c>
      <c r="E92" s="6"/>
      <c r="F92" s="6"/>
      <c r="G92" s="6"/>
      <c r="H92" s="6"/>
      <c r="I92" s="6"/>
      <c r="J92" s="6"/>
      <c r="K92" s="6"/>
    </row>
    <row r="93" spans="2:11" ht="36">
      <c r="B93" s="1448"/>
      <c r="C93" s="93"/>
      <c r="D93" s="46" t="s">
        <v>610</v>
      </c>
      <c r="E93" s="6"/>
      <c r="F93" s="6"/>
      <c r="G93" s="6"/>
      <c r="H93" s="6"/>
      <c r="I93" s="6"/>
      <c r="J93" s="6"/>
      <c r="K93" s="6"/>
    </row>
    <row r="94" spans="2:11">
      <c r="B94" s="1448"/>
      <c r="C94" s="93"/>
      <c r="D94" s="17"/>
      <c r="E94" s="6"/>
      <c r="F94" s="6"/>
      <c r="G94" s="6"/>
      <c r="H94" s="6"/>
      <c r="I94" s="6"/>
      <c r="J94" s="6"/>
      <c r="K94" s="6"/>
    </row>
    <row r="95" spans="2:11">
      <c r="B95" s="1448"/>
      <c r="C95" s="93"/>
      <c r="D95" s="46" t="s">
        <v>91</v>
      </c>
      <c r="E95" s="6"/>
      <c r="F95" s="6"/>
      <c r="G95" s="6"/>
      <c r="H95" s="6"/>
      <c r="I95" s="6"/>
      <c r="J95" s="6"/>
      <c r="K95" s="6"/>
    </row>
    <row r="96" spans="2:11" ht="37.5">
      <c r="B96" s="1448"/>
      <c r="C96" s="93"/>
      <c r="D96" s="46" t="s">
        <v>611</v>
      </c>
      <c r="E96" s="6"/>
      <c r="F96" s="6"/>
      <c r="G96" s="6"/>
      <c r="H96" s="6"/>
      <c r="I96" s="6"/>
      <c r="J96" s="6"/>
      <c r="K96" s="6"/>
    </row>
    <row r="97" spans="2:11" ht="49.5">
      <c r="B97" s="1448"/>
      <c r="C97" s="93"/>
      <c r="D97" s="46" t="s">
        <v>612</v>
      </c>
      <c r="E97" s="6"/>
      <c r="F97" s="6"/>
      <c r="G97" s="6"/>
      <c r="H97" s="6"/>
      <c r="I97" s="6"/>
      <c r="J97" s="6"/>
      <c r="K97" s="6"/>
    </row>
    <row r="98" spans="2:11" ht="25.5">
      <c r="B98" s="1448"/>
      <c r="C98" s="93"/>
      <c r="D98" s="46" t="s">
        <v>613</v>
      </c>
      <c r="E98" s="6"/>
      <c r="F98" s="6"/>
      <c r="G98" s="6"/>
      <c r="H98" s="6"/>
      <c r="I98" s="6"/>
      <c r="J98" s="6"/>
      <c r="K98" s="6"/>
    </row>
    <row r="99" spans="2:11">
      <c r="B99" s="1448"/>
      <c r="C99" s="93"/>
      <c r="D99" s="46" t="s">
        <v>614</v>
      </c>
      <c r="E99" s="6"/>
      <c r="F99" s="6"/>
      <c r="G99" s="6"/>
      <c r="H99" s="6"/>
      <c r="I99" s="6"/>
      <c r="J99" s="6"/>
      <c r="K99" s="6"/>
    </row>
    <row r="100" spans="2:11" ht="48.75" thickBot="1">
      <c r="B100" s="1449"/>
      <c r="C100" s="3"/>
      <c r="D100" s="70" t="s">
        <v>615</v>
      </c>
      <c r="E100" s="6"/>
      <c r="F100" s="6"/>
      <c r="G100" s="6"/>
      <c r="H100" s="6"/>
      <c r="I100" s="6"/>
      <c r="J100" s="6"/>
      <c r="K100" s="6"/>
    </row>
    <row r="101" spans="2:11">
      <c r="B101" s="6"/>
      <c r="D101" s="6"/>
      <c r="E101" s="6"/>
      <c r="F101" s="6"/>
      <c r="G101" s="6"/>
      <c r="H101" s="6"/>
      <c r="I101" s="6"/>
      <c r="J101" s="6"/>
      <c r="K101" s="6"/>
    </row>
    <row r="102" spans="2:11">
      <c r="B102" s="6"/>
      <c r="D102" s="6"/>
      <c r="E102" s="6"/>
      <c r="F102" s="6"/>
      <c r="G102" s="6"/>
      <c r="H102" s="6"/>
      <c r="I102" s="6"/>
      <c r="J102" s="6"/>
      <c r="K102" s="6"/>
    </row>
    <row r="103" spans="2:11">
      <c r="B103" s="6"/>
      <c r="D103" s="6"/>
      <c r="E103" s="6"/>
      <c r="F103" s="6"/>
      <c r="G103" s="6"/>
      <c r="H103" s="6"/>
      <c r="I103" s="6"/>
      <c r="J103" s="6"/>
      <c r="K103" s="6"/>
    </row>
    <row r="104" spans="2:11">
      <c r="B104" s="6"/>
      <c r="D104" s="6"/>
      <c r="E104" s="6"/>
      <c r="F104" s="6"/>
      <c r="G104" s="6"/>
      <c r="H104" s="6"/>
      <c r="I104" s="6"/>
      <c r="J104" s="6"/>
      <c r="K104" s="6"/>
    </row>
    <row r="105" spans="2:11">
      <c r="B105" s="6"/>
      <c r="D105" s="6"/>
      <c r="E105" s="6"/>
      <c r="F105" s="6"/>
      <c r="G105" s="6"/>
      <c r="H105" s="6"/>
      <c r="I105" s="6"/>
      <c r="J105" s="6"/>
      <c r="K105" s="6"/>
    </row>
    <row r="106" spans="2:11">
      <c r="B106" s="6"/>
      <c r="D106" s="6"/>
      <c r="E106" s="6"/>
      <c r="F106" s="6"/>
      <c r="G106" s="6"/>
      <c r="H106" s="6"/>
      <c r="I106" s="6"/>
      <c r="J106" s="6"/>
      <c r="K106" s="6"/>
    </row>
    <row r="107" spans="2:11">
      <c r="B107" s="6"/>
      <c r="D107" s="6"/>
      <c r="E107" s="6"/>
      <c r="F107" s="6"/>
      <c r="G107" s="6"/>
      <c r="H107" s="6"/>
      <c r="I107" s="6"/>
      <c r="J107" s="6"/>
      <c r="K107" s="6"/>
    </row>
    <row r="108" spans="2:11">
      <c r="B108" s="6"/>
      <c r="D108" s="6"/>
      <c r="E108" s="6"/>
      <c r="F108" s="6"/>
      <c r="G108" s="6"/>
      <c r="H108" s="6"/>
      <c r="I108" s="6"/>
      <c r="J108" s="6"/>
      <c r="K108" s="6"/>
    </row>
    <row r="109" spans="2:11">
      <c r="B109" s="6"/>
      <c r="D109" s="6"/>
      <c r="E109" s="6"/>
      <c r="F109" s="6"/>
      <c r="G109" s="6"/>
      <c r="H109" s="6"/>
      <c r="I109" s="6"/>
      <c r="J109" s="6"/>
      <c r="K109" s="6"/>
    </row>
    <row r="110" spans="2:11">
      <c r="B110" s="6"/>
      <c r="D110" s="6"/>
      <c r="E110" s="6"/>
      <c r="F110" s="6"/>
      <c r="G110" s="6"/>
      <c r="H110" s="6"/>
      <c r="I110" s="6"/>
      <c r="J110" s="6"/>
      <c r="K110" s="6"/>
    </row>
    <row r="111" spans="2:11">
      <c r="B111" s="6"/>
      <c r="D111" s="6"/>
      <c r="E111" s="6"/>
      <c r="F111" s="6"/>
      <c r="G111" s="6"/>
      <c r="H111" s="6"/>
      <c r="I111" s="6"/>
      <c r="J111" s="6"/>
      <c r="K111" s="6"/>
    </row>
    <row r="112" spans="2:11">
      <c r="B112" s="6"/>
      <c r="D112" s="6"/>
      <c r="E112" s="6"/>
      <c r="F112" s="6"/>
      <c r="G112" s="6"/>
      <c r="H112" s="6"/>
      <c r="I112" s="6"/>
      <c r="J112" s="6"/>
      <c r="K112" s="6"/>
    </row>
    <row r="113" spans="2:11">
      <c r="B113" s="6"/>
      <c r="D113" s="6"/>
      <c r="E113" s="6"/>
      <c r="F113" s="6"/>
      <c r="G113" s="6"/>
      <c r="H113" s="6"/>
      <c r="I113" s="6"/>
      <c r="J113" s="6"/>
      <c r="K113" s="6"/>
    </row>
    <row r="114" spans="2:11">
      <c r="B114" s="6"/>
      <c r="D114" s="6"/>
      <c r="E114" s="6"/>
      <c r="F114" s="6"/>
      <c r="G114" s="6"/>
      <c r="H114" s="6"/>
      <c r="I114" s="6"/>
      <c r="J114" s="6"/>
      <c r="K114" s="6"/>
    </row>
    <row r="115" spans="2:11">
      <c r="B115" s="6"/>
      <c r="D115" s="6"/>
      <c r="E115" s="6"/>
      <c r="F115" s="6"/>
      <c r="G115" s="6"/>
      <c r="H115" s="6"/>
      <c r="I115" s="6"/>
      <c r="J115" s="6"/>
      <c r="K115" s="6"/>
    </row>
    <row r="116" spans="2:11">
      <c r="B116" s="6"/>
      <c r="D116" s="6"/>
      <c r="E116" s="6"/>
      <c r="F116" s="6"/>
      <c r="G116" s="6"/>
      <c r="H116" s="6"/>
      <c r="I116" s="6"/>
      <c r="J116" s="6"/>
      <c r="K116" s="6"/>
    </row>
    <row r="117" spans="2:11">
      <c r="B117" s="6"/>
      <c r="D117" s="6"/>
      <c r="E117" s="6"/>
      <c r="F117" s="6"/>
      <c r="G117" s="6"/>
      <c r="H117" s="6"/>
      <c r="I117" s="6"/>
      <c r="J117" s="6"/>
      <c r="K117" s="6"/>
    </row>
    <row r="118" spans="2:11">
      <c r="B118" s="6"/>
      <c r="D118" s="6"/>
      <c r="E118" s="6"/>
      <c r="F118" s="6"/>
      <c r="G118" s="6"/>
      <c r="H118" s="6"/>
      <c r="I118" s="6"/>
      <c r="J118" s="6"/>
      <c r="K118" s="6"/>
    </row>
    <row r="119" spans="2:11">
      <c r="B119" s="6"/>
      <c r="D119" s="6"/>
      <c r="E119" s="6"/>
      <c r="F119" s="6"/>
      <c r="G119" s="6"/>
      <c r="H119" s="6"/>
      <c r="I119" s="6"/>
      <c r="J119" s="6"/>
      <c r="K119" s="6"/>
    </row>
    <row r="120" spans="2:11">
      <c r="B120" s="6"/>
      <c r="D120" s="6"/>
      <c r="E120" s="6"/>
      <c r="F120" s="6"/>
      <c r="G120" s="6"/>
      <c r="H120" s="6"/>
      <c r="I120" s="6"/>
      <c r="J120" s="6"/>
      <c r="K120" s="6"/>
    </row>
    <row r="121" spans="2:11">
      <c r="B121" s="6"/>
      <c r="D121" s="6"/>
      <c r="E121" s="6"/>
      <c r="F121" s="6"/>
      <c r="G121" s="6"/>
      <c r="H121" s="6"/>
      <c r="I121" s="6"/>
      <c r="J121" s="6"/>
      <c r="K121" s="6"/>
    </row>
    <row r="122" spans="2:11">
      <c r="B122" s="6"/>
      <c r="D122" s="6"/>
      <c r="E122" s="6"/>
      <c r="F122" s="6"/>
      <c r="G122" s="6"/>
      <c r="H122" s="6"/>
      <c r="I122" s="6"/>
      <c r="J122" s="6"/>
      <c r="K122" s="6"/>
    </row>
    <row r="123" spans="2:11">
      <c r="B123" s="6"/>
      <c r="D123" s="6"/>
      <c r="E123" s="6"/>
      <c r="F123" s="6"/>
      <c r="G123" s="6"/>
      <c r="H123" s="6"/>
      <c r="I123" s="6"/>
      <c r="J123" s="6"/>
      <c r="K123" s="6"/>
    </row>
    <row r="124" spans="2:11">
      <c r="B124" s="6"/>
      <c r="D124" s="6"/>
      <c r="E124" s="6"/>
      <c r="F124" s="6"/>
      <c r="G124" s="6"/>
      <c r="H124" s="6"/>
      <c r="I124" s="6"/>
      <c r="J124" s="6"/>
      <c r="K124" s="6"/>
    </row>
    <row r="125" spans="2:11">
      <c r="B125" s="6"/>
      <c r="D125" s="6"/>
      <c r="E125" s="6"/>
      <c r="F125" s="6"/>
      <c r="G125" s="6"/>
      <c r="H125" s="6"/>
      <c r="I125" s="6"/>
      <c r="J125" s="6"/>
      <c r="K125" s="6"/>
    </row>
    <row r="126" spans="2:11">
      <c r="B126" s="6"/>
      <c r="D126" s="6"/>
      <c r="E126" s="6"/>
      <c r="F126" s="6"/>
      <c r="G126" s="6"/>
      <c r="H126" s="6"/>
      <c r="I126" s="6"/>
      <c r="J126" s="6"/>
      <c r="K126" s="6"/>
    </row>
    <row r="127" spans="2:11">
      <c r="B127" s="6"/>
      <c r="D127" s="6"/>
      <c r="E127" s="6"/>
      <c r="F127" s="6"/>
      <c r="G127" s="6"/>
      <c r="H127" s="6"/>
      <c r="I127" s="6"/>
      <c r="J127" s="6"/>
      <c r="K127" s="6"/>
    </row>
    <row r="128" spans="2:11">
      <c r="B128" s="6"/>
      <c r="D128" s="6"/>
      <c r="E128" s="6"/>
      <c r="F128" s="6"/>
      <c r="G128" s="6"/>
      <c r="H128" s="6"/>
      <c r="I128" s="6"/>
      <c r="J128" s="6"/>
      <c r="K128" s="6"/>
    </row>
    <row r="129" spans="2:11">
      <c r="B129" s="6"/>
      <c r="D129" s="6"/>
      <c r="E129" s="6"/>
      <c r="F129" s="6"/>
      <c r="G129" s="6"/>
      <c r="H129" s="6"/>
      <c r="I129" s="6"/>
      <c r="J129" s="6"/>
      <c r="K129" s="6"/>
    </row>
    <row r="130" spans="2:11">
      <c r="B130" s="6"/>
      <c r="D130" s="6"/>
      <c r="E130" s="6"/>
      <c r="F130" s="6"/>
      <c r="G130" s="6"/>
      <c r="H130" s="6"/>
      <c r="I130" s="6"/>
      <c r="J130" s="6"/>
      <c r="K130" s="6"/>
    </row>
    <row r="131" spans="2:11">
      <c r="B131" s="6"/>
      <c r="D131" s="6"/>
      <c r="E131" s="6"/>
      <c r="F131" s="6"/>
      <c r="G131" s="6"/>
      <c r="H131" s="6"/>
      <c r="I131" s="6"/>
      <c r="J131" s="6"/>
      <c r="K131" s="6"/>
    </row>
    <row r="132" spans="2:11">
      <c r="B132" s="6"/>
      <c r="D132" s="6"/>
      <c r="E132" s="6"/>
      <c r="F132" s="6"/>
      <c r="G132" s="6"/>
      <c r="H132" s="6"/>
      <c r="I132" s="6"/>
      <c r="J132" s="6"/>
      <c r="K132" s="6"/>
    </row>
    <row r="133" spans="2:11">
      <c r="B133" s="6"/>
      <c r="D133" s="6"/>
      <c r="E133" s="6"/>
      <c r="F133" s="6"/>
      <c r="G133" s="6"/>
      <c r="H133" s="6"/>
      <c r="I133" s="6"/>
      <c r="J133" s="6"/>
      <c r="K133" s="6"/>
    </row>
    <row r="134" spans="2:11">
      <c r="B134" s="6"/>
      <c r="D134" s="6"/>
      <c r="E134" s="6"/>
      <c r="F134" s="6"/>
      <c r="G134" s="6"/>
      <c r="H134" s="6"/>
      <c r="I134" s="6"/>
      <c r="J134" s="6"/>
      <c r="K134" s="6"/>
    </row>
    <row r="135" spans="2:11">
      <c r="B135" s="6"/>
      <c r="D135" s="6"/>
      <c r="E135" s="6"/>
      <c r="F135" s="6"/>
      <c r="G135" s="6"/>
      <c r="H135" s="6"/>
      <c r="I135" s="6"/>
      <c r="J135" s="6"/>
      <c r="K135" s="6"/>
    </row>
    <row r="136" spans="2:11">
      <c r="B136" s="6"/>
      <c r="D136" s="6"/>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sheetData>
  <mergeCells count="32">
    <mergeCell ref="A1:P1"/>
    <mergeCell ref="A2:P2"/>
    <mergeCell ref="A3:P3"/>
    <mergeCell ref="A4:D4"/>
    <mergeCell ref="A5:P5"/>
    <mergeCell ref="B15:B19"/>
    <mergeCell ref="B45:B51"/>
    <mergeCell ref="B58:E59"/>
    <mergeCell ref="D15:K15"/>
    <mergeCell ref="D16:K16"/>
    <mergeCell ref="D19:K19"/>
    <mergeCell ref="D31:K31"/>
    <mergeCell ref="C20:C21"/>
    <mergeCell ref="D20:D21"/>
    <mergeCell ref="E20:E21"/>
    <mergeCell ref="F20:J20"/>
    <mergeCell ref="D32:K32"/>
    <mergeCell ref="D33:K33"/>
    <mergeCell ref="B35:E35"/>
    <mergeCell ref="B36:B42"/>
    <mergeCell ref="B44:E44"/>
    <mergeCell ref="B78:B91"/>
    <mergeCell ref="B92:B100"/>
    <mergeCell ref="B61:D61"/>
    <mergeCell ref="B63:B74"/>
    <mergeCell ref="B75:B76"/>
    <mergeCell ref="D75:D76"/>
    <mergeCell ref="B10:D10"/>
    <mergeCell ref="F10:R10"/>
    <mergeCell ref="F11:R11"/>
    <mergeCell ref="E12:R12"/>
    <mergeCell ref="E13:R13"/>
  </mergeCells>
  <conditionalFormatting sqref="H30">
    <cfRule type="containsText" dxfId="78" priority="9" operator="containsText" text="ERROR">
      <formula>NOT(ISERROR(SEARCH("ERROR",H30)))</formula>
    </cfRule>
  </conditionalFormatting>
  <conditionalFormatting sqref="E12:R12">
    <cfRule type="expression" dxfId="77" priority="5">
      <formula>E11="SI SE REPORTA"</formula>
    </cfRule>
  </conditionalFormatting>
  <conditionalFormatting sqref="F10:R10">
    <cfRule type="expression" dxfId="76" priority="3">
      <formula>E10="NO SE REPORTA"</formula>
    </cfRule>
    <cfRule type="expression" dxfId="75" priority="4">
      <formula>E9="NO APLICA"</formula>
    </cfRule>
  </conditionalFormatting>
  <conditionalFormatting sqref="F11:R11">
    <cfRule type="expression" dxfId="74" priority="1">
      <formula>E11="NO SE REPORTA"</formula>
    </cfRule>
    <cfRule type="expression" dxfId="73" priority="2">
      <formula>E10="NO APLICA"</formula>
    </cfRule>
  </conditionalFormatting>
  <dataValidations count="5">
    <dataValidation type="whole" operator="greaterThanOrEqual" allowBlank="1" showErrorMessage="1" errorTitle="ERROR" error="Escriba un número igual o mayor que 0" promptTitle="ERROR" prompt="Escriba un número igual o mayor que 0" sqref="E18:H18">
      <formula1>0</formula1>
    </dataValidation>
    <dataValidation type="decimal" allowBlank="1" showInputMessage="1" showErrorMessage="1" errorTitle="ERROR" error="Escriba un valor entre 0% y 100%" sqref="F22:H29">
      <formula1>0</formula1>
      <formula2>1</formula2>
    </dataValidation>
    <dataValidation allowBlank="1" showInputMessage="1" showErrorMessage="1" sqref="H30 I22:I30"/>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179"/>
  <sheetViews>
    <sheetView showGridLines="0" zoomScale="98" zoomScaleNormal="98" workbookViewId="0">
      <selection activeCell="L23" sqref="L23"/>
    </sheetView>
  </sheetViews>
  <sheetFormatPr baseColWidth="10" defaultRowHeight="15"/>
  <cols>
    <col min="1" max="1" width="1.85546875" customWidth="1"/>
    <col min="2" max="2" width="12.85546875" customWidth="1"/>
    <col min="3" max="3" width="5" style="86" bestFit="1" customWidth="1"/>
    <col min="4" max="4" width="34.85546875" customWidth="1"/>
    <col min="5" max="5" width="12.140625" customWidth="1"/>
  </cols>
  <sheetData>
    <row r="1" spans="1:20" s="490" customFormat="1" ht="100.5" customHeight="1" thickBot="1">
      <c r="A1" s="1334"/>
      <c r="B1" s="1335"/>
      <c r="C1" s="1335"/>
      <c r="D1" s="1335"/>
      <c r="E1" s="1335"/>
      <c r="F1" s="1335"/>
      <c r="G1" s="1335"/>
      <c r="H1" s="1335"/>
      <c r="I1" s="1335"/>
      <c r="J1" s="1335"/>
      <c r="K1" s="1335"/>
      <c r="L1" s="1335"/>
      <c r="M1" s="1335"/>
      <c r="N1" s="1335"/>
      <c r="O1" s="1335"/>
      <c r="P1" s="1336"/>
      <c r="Q1" s="389"/>
      <c r="R1" s="389"/>
    </row>
    <row r="2" spans="1:20" s="491" customFormat="1" ht="16.5" thickBot="1">
      <c r="A2" s="1342" t="str">
        <f>'Datos Generales'!C5</f>
        <v>Corporación Autónoma Regional del Cesar – CORPOCESAR</v>
      </c>
      <c r="B2" s="1343"/>
      <c r="C2" s="1343"/>
      <c r="D2" s="1343"/>
      <c r="E2" s="1343"/>
      <c r="F2" s="1343"/>
      <c r="G2" s="1343"/>
      <c r="H2" s="1343"/>
      <c r="I2" s="1343"/>
      <c r="J2" s="1343"/>
      <c r="K2" s="1343"/>
      <c r="L2" s="1343"/>
      <c r="M2" s="1343"/>
      <c r="N2" s="1343"/>
      <c r="O2" s="1343"/>
      <c r="P2" s="1344"/>
      <c r="Q2" s="389"/>
      <c r="R2" s="389"/>
    </row>
    <row r="3" spans="1:20" s="491" customFormat="1" ht="16.5" thickBot="1">
      <c r="A3" s="1337" t="s">
        <v>1294</v>
      </c>
      <c r="B3" s="1338"/>
      <c r="C3" s="1338"/>
      <c r="D3" s="1338"/>
      <c r="E3" s="1338"/>
      <c r="F3" s="1338"/>
      <c r="G3" s="1338"/>
      <c r="H3" s="1338"/>
      <c r="I3" s="1338"/>
      <c r="J3" s="1338"/>
      <c r="K3" s="1338"/>
      <c r="L3" s="1338"/>
      <c r="M3" s="1338"/>
      <c r="N3" s="1338"/>
      <c r="O3" s="1338"/>
      <c r="P3" s="1339"/>
      <c r="Q3" s="389"/>
      <c r="R3" s="389"/>
    </row>
    <row r="4" spans="1:20" s="491" customFormat="1" ht="16.5" thickBot="1">
      <c r="A4" s="1340" t="s">
        <v>1293</v>
      </c>
      <c r="B4" s="1341"/>
      <c r="C4" s="1341"/>
      <c r="D4" s="1341"/>
      <c r="E4" s="498">
        <v>2022</v>
      </c>
      <c r="F4" s="498"/>
      <c r="G4" s="498"/>
      <c r="H4" s="498"/>
      <c r="I4" s="498"/>
      <c r="J4" s="498"/>
      <c r="K4" s="498"/>
      <c r="L4" s="499"/>
      <c r="M4" s="499"/>
      <c r="N4" s="499"/>
      <c r="O4" s="499"/>
      <c r="P4" s="500"/>
      <c r="Q4" s="389"/>
      <c r="R4" s="389"/>
    </row>
    <row r="5" spans="1:20" s="235" customFormat="1" ht="16.5" customHeight="1" thickBot="1">
      <c r="A5" s="1337" t="s">
        <v>634</v>
      </c>
      <c r="B5" s="1338"/>
      <c r="C5" s="1338"/>
      <c r="D5" s="1338"/>
      <c r="E5" s="1338"/>
      <c r="F5" s="1338"/>
      <c r="G5" s="1338"/>
      <c r="H5" s="1338"/>
      <c r="I5" s="1338"/>
      <c r="J5" s="1338"/>
      <c r="K5" s="1338"/>
      <c r="L5" s="1338"/>
      <c r="M5" s="1338"/>
      <c r="N5" s="1338"/>
      <c r="O5" s="1338"/>
      <c r="P5" s="1339"/>
    </row>
    <row r="6" spans="1:20">
      <c r="B6" s="2" t="s">
        <v>1</v>
      </c>
      <c r="C6" s="75"/>
      <c r="D6" s="6"/>
      <c r="E6" s="73"/>
      <c r="F6" s="6" t="s">
        <v>128</v>
      </c>
      <c r="G6" s="6"/>
      <c r="H6" s="6"/>
      <c r="I6" s="6"/>
      <c r="J6" s="6"/>
      <c r="K6" s="6"/>
    </row>
    <row r="7" spans="1:20" ht="15.75" thickBot="1">
      <c r="B7" s="74"/>
      <c r="C7" s="76"/>
      <c r="D7" s="6"/>
      <c r="E7" s="18"/>
      <c r="F7" s="6" t="s">
        <v>129</v>
      </c>
      <c r="G7" s="6"/>
      <c r="H7" s="6"/>
      <c r="I7" s="6"/>
      <c r="J7" s="6"/>
      <c r="K7" s="6"/>
    </row>
    <row r="8" spans="1:20" ht="15.75" thickBot="1">
      <c r="B8" s="171" t="s">
        <v>1181</v>
      </c>
      <c r="C8" s="213">
        <v>2022</v>
      </c>
      <c r="D8" s="218">
        <f>IF(E10="NO APLICA","NO APLICA",IF(E11="NO SE REPORTA","SIN INFORMACION",+F22))</f>
        <v>1</v>
      </c>
      <c r="E8" s="214"/>
      <c r="F8" s="6" t="s">
        <v>130</v>
      </c>
      <c r="G8" s="6"/>
      <c r="H8" s="6"/>
      <c r="I8" s="6"/>
      <c r="J8" s="6"/>
      <c r="K8" s="6"/>
    </row>
    <row r="9" spans="1:20">
      <c r="B9" s="462" t="s">
        <v>1182</v>
      </c>
      <c r="D9" s="6"/>
      <c r="E9" s="6"/>
      <c r="F9" s="6"/>
      <c r="G9" s="6"/>
      <c r="H9" s="6"/>
      <c r="I9" s="6"/>
      <c r="J9" s="6"/>
      <c r="K9" s="6"/>
    </row>
    <row r="10" spans="1:20" s="389" customFormat="1">
      <c r="A10" s="235"/>
      <c r="B10" s="1392" t="s">
        <v>1236</v>
      </c>
      <c r="C10" s="1392"/>
      <c r="D10" s="1392"/>
      <c r="E10" s="468" t="s">
        <v>1233</v>
      </c>
      <c r="F10" s="1412" t="str">
        <f>'15Restaura'!$F$10</f>
        <v>Acuerdo 005 del 22 de mayo de 2020 (Por medio del cual se aprueba el Plan de Accion Institucional 2020 -2023)</v>
      </c>
      <c r="G10" s="1412"/>
      <c r="H10" s="1412"/>
      <c r="I10" s="1412"/>
      <c r="J10" s="1412"/>
      <c r="K10" s="1412"/>
      <c r="L10" s="1412"/>
      <c r="M10" s="1412"/>
      <c r="N10" s="1412"/>
      <c r="O10" s="1412"/>
      <c r="P10" s="1412"/>
      <c r="Q10" s="1412"/>
      <c r="R10" s="1412"/>
      <c r="S10" s="464"/>
      <c r="T10" s="464"/>
    </row>
    <row r="11" spans="1:20" s="389" customFormat="1" ht="14.45" customHeight="1">
      <c r="A11" s="235"/>
      <c r="B11" s="465"/>
      <c r="C11" s="466"/>
      <c r="D11" s="467" t="str">
        <f>IF(E10="SI APLICA","¿El indicador no se reporta por limitaciones de información disponible? ","")</f>
        <v xml:space="preserve">¿El indicador no se reporta por limitaciones de información disponible? </v>
      </c>
      <c r="E11" s="469" t="s">
        <v>1235</v>
      </c>
      <c r="F11" s="1412"/>
      <c r="G11" s="1412"/>
      <c r="H11" s="1412"/>
      <c r="I11" s="1412"/>
      <c r="J11" s="1412"/>
      <c r="K11" s="1412"/>
      <c r="L11" s="1412"/>
      <c r="M11" s="1412"/>
      <c r="N11" s="1412"/>
      <c r="O11" s="1412"/>
      <c r="P11" s="1412"/>
      <c r="Q11" s="1412"/>
      <c r="R11" s="1412"/>
    </row>
    <row r="12" spans="1:20" s="389" customFormat="1" ht="31.5" customHeight="1">
      <c r="A12" s="235"/>
      <c r="B12" s="462"/>
      <c r="C12" s="292"/>
      <c r="D12" s="467" t="str">
        <f>IF(E11="SI SE REPORTA","¿Qué programas o proyectos del Plan de Acción están asociados al indicador? ","")</f>
        <v xml:space="preserve">¿Qué programas o proyectos del Plan de Acción están asociados al indicador? </v>
      </c>
      <c r="E12" s="1430" t="s">
        <v>2115</v>
      </c>
      <c r="F12" s="1430"/>
      <c r="G12" s="1430"/>
      <c r="H12" s="1430"/>
      <c r="I12" s="1430"/>
      <c r="J12" s="1430"/>
      <c r="K12" s="1430"/>
      <c r="L12" s="1430"/>
      <c r="M12" s="1430"/>
      <c r="N12" s="1430"/>
      <c r="O12" s="1430"/>
      <c r="P12" s="1430"/>
      <c r="Q12" s="1430"/>
      <c r="R12" s="1430"/>
    </row>
    <row r="13" spans="1:20" s="389" customFormat="1" ht="21.95" customHeight="1">
      <c r="A13" s="235"/>
      <c r="B13" s="462"/>
      <c r="C13" s="292"/>
      <c r="D13" s="467" t="s">
        <v>1238</v>
      </c>
      <c r="E13" s="1395"/>
      <c r="F13" s="1396"/>
      <c r="G13" s="1396"/>
      <c r="H13" s="1396"/>
      <c r="I13" s="1396"/>
      <c r="J13" s="1396"/>
      <c r="K13" s="1396"/>
      <c r="L13" s="1396"/>
      <c r="M13" s="1396"/>
      <c r="N13" s="1396"/>
      <c r="O13" s="1396"/>
      <c r="P13" s="1396"/>
      <c r="Q13" s="1396"/>
      <c r="R13" s="1397"/>
    </row>
    <row r="14" spans="1:20" s="389" customFormat="1" ht="6.95" customHeight="1" thickBot="1">
      <c r="B14" s="462"/>
      <c r="C14" s="86"/>
      <c r="D14" s="6"/>
      <c r="E14" s="6"/>
      <c r="F14" s="6"/>
      <c r="G14" s="6"/>
      <c r="H14" s="6"/>
      <c r="I14" s="6"/>
      <c r="J14" s="6"/>
      <c r="K14" s="6"/>
    </row>
    <row r="15" spans="1:20" ht="15.75" thickBot="1">
      <c r="B15" s="1447" t="s">
        <v>2</v>
      </c>
      <c r="C15" s="88"/>
      <c r="D15" s="1458" t="s">
        <v>3</v>
      </c>
      <c r="E15" s="1459"/>
      <c r="F15" s="1459"/>
      <c r="G15" s="1459"/>
      <c r="H15" s="1459"/>
      <c r="I15" s="1460"/>
      <c r="J15" s="6"/>
      <c r="K15" s="6"/>
    </row>
    <row r="16" spans="1:20" ht="36.75" thickBot="1">
      <c r="B16" s="1448"/>
      <c r="C16" s="93"/>
      <c r="D16" s="43" t="s">
        <v>648</v>
      </c>
      <c r="E16" s="7">
        <v>25</v>
      </c>
      <c r="F16" s="6"/>
      <c r="G16" s="6"/>
      <c r="H16" s="6"/>
      <c r="I16" s="22"/>
      <c r="J16" s="6"/>
      <c r="K16" s="6"/>
    </row>
    <row r="17" spans="2:11" ht="72.75" thickBot="1">
      <c r="B17" s="1448"/>
      <c r="C17" s="93"/>
      <c r="D17" s="40" t="s">
        <v>649</v>
      </c>
      <c r="E17" s="7">
        <v>25</v>
      </c>
      <c r="F17" s="6"/>
      <c r="G17" s="6"/>
      <c r="H17" s="6"/>
      <c r="I17" s="22"/>
      <c r="J17" s="6"/>
      <c r="K17" s="6"/>
    </row>
    <row r="18" spans="2:11" ht="15.75" thickBot="1">
      <c r="B18" s="1448"/>
      <c r="C18" s="91"/>
      <c r="D18" s="1499"/>
      <c r="E18" s="1500"/>
      <c r="F18" s="1500"/>
      <c r="G18" s="1500"/>
      <c r="H18" s="1500"/>
      <c r="I18" s="1501"/>
      <c r="J18" s="6"/>
      <c r="K18" s="6"/>
    </row>
    <row r="19" spans="2:11" ht="15.75" thickBot="1">
      <c r="B19" s="1448"/>
      <c r="C19" s="93"/>
      <c r="D19" s="43" t="s">
        <v>150</v>
      </c>
      <c r="E19" s="38" t="s">
        <v>20</v>
      </c>
      <c r="F19" s="38" t="s">
        <v>21</v>
      </c>
      <c r="G19" s="38" t="s">
        <v>22</v>
      </c>
      <c r="H19" s="38" t="s">
        <v>23</v>
      </c>
      <c r="I19" s="38" t="s">
        <v>151</v>
      </c>
      <c r="J19" s="6"/>
      <c r="K19" s="6"/>
    </row>
    <row r="20" spans="2:11" ht="48.75" thickBot="1">
      <c r="B20" s="1448"/>
      <c r="C20" s="93"/>
      <c r="D20" s="127" t="s">
        <v>650</v>
      </c>
      <c r="E20" s="7">
        <v>25</v>
      </c>
      <c r="F20" s="7">
        <v>25</v>
      </c>
      <c r="G20" s="7">
        <v>25</v>
      </c>
      <c r="H20" s="7"/>
      <c r="I20" s="42">
        <f>SUM(E20:H20)</f>
        <v>75</v>
      </c>
      <c r="J20" s="6"/>
      <c r="K20" s="6"/>
    </row>
    <row r="21" spans="2:11" ht="36.75" thickBot="1">
      <c r="B21" s="1448"/>
      <c r="C21" s="93"/>
      <c r="D21" s="127" t="s">
        <v>651</v>
      </c>
      <c r="E21" s="7">
        <v>25</v>
      </c>
      <c r="F21" s="7">
        <v>25</v>
      </c>
      <c r="G21" s="7">
        <v>25</v>
      </c>
      <c r="H21" s="7"/>
      <c r="I21" s="42">
        <f>SUM(E21:H21)</f>
        <v>75</v>
      </c>
      <c r="J21" s="6"/>
      <c r="K21" s="6"/>
    </row>
    <row r="22" spans="2:11" ht="48.75" thickBot="1">
      <c r="B22" s="1449"/>
      <c r="C22" s="3"/>
      <c r="D22" s="127" t="s">
        <v>652</v>
      </c>
      <c r="E22" s="141">
        <f>IFERROR(E21/E20,0)</f>
        <v>1</v>
      </c>
      <c r="F22" s="141">
        <f>IFERROR(F21/F20,0)</f>
        <v>1</v>
      </c>
      <c r="G22" s="141">
        <f>IFERROR(G21/G20,0)</f>
        <v>1</v>
      </c>
      <c r="H22" s="141">
        <f>IFERROR(H21/H20,0)</f>
        <v>0</v>
      </c>
      <c r="I22" s="141">
        <f>IFERROR(I21/I20,0)</f>
        <v>1</v>
      </c>
      <c r="J22" s="6"/>
      <c r="K22" s="6"/>
    </row>
    <row r="23" spans="2:11" ht="36" customHeight="1" thickBot="1">
      <c r="B23" s="47" t="s">
        <v>34</v>
      </c>
      <c r="C23" s="92"/>
      <c r="D23" s="1453" t="s">
        <v>653</v>
      </c>
      <c r="E23" s="1454"/>
      <c r="F23" s="1454"/>
      <c r="G23" s="1454"/>
      <c r="H23" s="1454"/>
      <c r="I23" s="1455"/>
      <c r="J23" s="6"/>
      <c r="K23" s="6"/>
    </row>
    <row r="24" spans="2:11" ht="36" customHeight="1" thickBot="1">
      <c r="B24" s="47" t="s">
        <v>36</v>
      </c>
      <c r="C24" s="92"/>
      <c r="D24" s="1453" t="s">
        <v>159</v>
      </c>
      <c r="E24" s="1454"/>
      <c r="F24" s="1454"/>
      <c r="G24" s="1454"/>
      <c r="H24" s="1454"/>
      <c r="I24" s="1455"/>
      <c r="J24" s="6"/>
      <c r="K24" s="6"/>
    </row>
    <row r="25" spans="2:11" ht="15.75" thickBot="1">
      <c r="B25" s="37"/>
      <c r="C25" s="87"/>
      <c r="D25" s="6"/>
      <c r="E25" s="6"/>
      <c r="F25" s="6"/>
      <c r="G25" s="6"/>
      <c r="H25" s="6"/>
      <c r="I25" s="6"/>
      <c r="J25" s="6"/>
      <c r="K25" s="6"/>
    </row>
    <row r="26" spans="2:11" ht="24" customHeight="1" thickBot="1">
      <c r="B26" s="1450" t="s">
        <v>38</v>
      </c>
      <c r="C26" s="1451"/>
      <c r="D26" s="1451"/>
      <c r="E26" s="1452"/>
      <c r="F26" s="6"/>
      <c r="G26" s="6"/>
      <c r="H26" s="6"/>
      <c r="I26" s="6"/>
      <c r="J26" s="6"/>
      <c r="K26" s="6"/>
    </row>
    <row r="27" spans="2:11" ht="60.75" thickBot="1">
      <c r="B27" s="1447">
        <v>1</v>
      </c>
      <c r="C27" s="93"/>
      <c r="D27" s="48" t="s">
        <v>39</v>
      </c>
      <c r="E27" s="554" t="s">
        <v>1399</v>
      </c>
      <c r="F27" s="6"/>
      <c r="G27" s="6"/>
      <c r="H27" s="6"/>
      <c r="I27" s="6"/>
      <c r="J27" s="6"/>
      <c r="K27" s="6"/>
    </row>
    <row r="28" spans="2:11" ht="48.75" thickBot="1">
      <c r="B28" s="1448"/>
      <c r="C28" s="93"/>
      <c r="D28" s="40" t="s">
        <v>40</v>
      </c>
      <c r="E28" s="554" t="s">
        <v>1400</v>
      </c>
      <c r="F28" s="6"/>
      <c r="G28" s="6"/>
      <c r="H28" s="6"/>
      <c r="I28" s="6"/>
      <c r="J28" s="6"/>
      <c r="K28" s="6"/>
    </row>
    <row r="29" spans="2:11" ht="24.75" thickBot="1">
      <c r="B29" s="1448"/>
      <c r="C29" s="93"/>
      <c r="D29" s="40" t="s">
        <v>41</v>
      </c>
      <c r="E29" s="554" t="s">
        <v>1476</v>
      </c>
      <c r="F29" s="6"/>
      <c r="G29" s="6"/>
      <c r="H29" s="6"/>
      <c r="I29" s="6"/>
      <c r="J29" s="6"/>
      <c r="K29" s="6"/>
    </row>
    <row r="30" spans="2:11" ht="15.75" thickBot="1">
      <c r="B30" s="1448"/>
      <c r="C30" s="93"/>
      <c r="D30" s="40" t="s">
        <v>42</v>
      </c>
      <c r="E30" s="554" t="s">
        <v>1390</v>
      </c>
      <c r="F30" s="6"/>
      <c r="G30" s="6"/>
      <c r="H30" s="6"/>
      <c r="I30" s="6"/>
      <c r="J30" s="6"/>
      <c r="K30" s="6"/>
    </row>
    <row r="31" spans="2:11" ht="48.75" thickBot="1">
      <c r="B31" s="1448"/>
      <c r="C31" s="93"/>
      <c r="D31" s="40" t="s">
        <v>43</v>
      </c>
      <c r="E31" s="554" t="s">
        <v>1391</v>
      </c>
      <c r="F31" s="6"/>
      <c r="G31" s="6"/>
      <c r="H31" s="6"/>
      <c r="I31" s="6"/>
      <c r="J31" s="6"/>
      <c r="K31" s="6"/>
    </row>
    <row r="32" spans="2:11" ht="15.75" thickBot="1">
      <c r="B32" s="1448"/>
      <c r="C32" s="93"/>
      <c r="D32" s="40" t="s">
        <v>44</v>
      </c>
      <c r="E32" s="554">
        <v>5748960</v>
      </c>
      <c r="F32" s="6"/>
      <c r="G32" s="6"/>
      <c r="H32" s="6"/>
      <c r="I32" s="6"/>
      <c r="J32" s="6"/>
      <c r="K32" s="6"/>
    </row>
    <row r="33" spans="2:11" ht="60.75" thickBot="1">
      <c r="B33" s="1449"/>
      <c r="C33" s="3"/>
      <c r="D33" s="40" t="s">
        <v>45</v>
      </c>
      <c r="E33" s="554" t="s">
        <v>1407</v>
      </c>
      <c r="F33" s="6"/>
      <c r="G33" s="6"/>
      <c r="H33" s="6"/>
      <c r="I33" s="6"/>
      <c r="J33" s="6"/>
      <c r="K33" s="6"/>
    </row>
    <row r="34" spans="2:11" ht="15.75" thickBot="1">
      <c r="B34" s="2"/>
      <c r="C34" s="75"/>
      <c r="D34" s="6"/>
      <c r="E34" s="6"/>
      <c r="F34" s="6"/>
      <c r="G34" s="6"/>
      <c r="H34" s="6"/>
      <c r="I34" s="6"/>
      <c r="J34" s="6"/>
      <c r="K34" s="6"/>
    </row>
    <row r="35" spans="2:11" ht="15.75" thickBot="1">
      <c r="B35" s="1450" t="s">
        <v>46</v>
      </c>
      <c r="C35" s="1451"/>
      <c r="D35" s="1451"/>
      <c r="E35" s="1452"/>
      <c r="F35" s="6"/>
      <c r="G35" s="6"/>
      <c r="H35" s="6"/>
      <c r="I35" s="6"/>
      <c r="J35" s="6"/>
      <c r="K35" s="6"/>
    </row>
    <row r="36" spans="2:11" ht="60.75" thickBot="1">
      <c r="B36" s="1447">
        <v>1</v>
      </c>
      <c r="C36" s="93"/>
      <c r="D36" s="48" t="s">
        <v>39</v>
      </c>
      <c r="E36" s="1124" t="s">
        <v>47</v>
      </c>
      <c r="F36" s="6"/>
      <c r="G36" s="6"/>
      <c r="H36" s="6"/>
      <c r="I36" s="6"/>
      <c r="J36" s="6"/>
      <c r="K36" s="6"/>
    </row>
    <row r="37" spans="2:11" ht="84.75" thickBot="1">
      <c r="B37" s="1448"/>
      <c r="C37" s="93"/>
      <c r="D37" s="40" t="s">
        <v>40</v>
      </c>
      <c r="E37" s="1124" t="s">
        <v>160</v>
      </c>
      <c r="F37" s="6"/>
      <c r="G37" s="6"/>
      <c r="H37" s="6"/>
      <c r="I37" s="6"/>
      <c r="J37" s="6"/>
      <c r="K37" s="6"/>
    </row>
    <row r="38" spans="2:11" ht="15.75" thickBot="1">
      <c r="B38" s="1448"/>
      <c r="C38" s="93"/>
      <c r="D38" s="40" t="s">
        <v>41</v>
      </c>
      <c r="E38" s="291"/>
      <c r="F38" s="6"/>
      <c r="G38" s="6"/>
      <c r="H38" s="6"/>
      <c r="I38" s="6"/>
      <c r="J38" s="6"/>
      <c r="K38" s="6"/>
    </row>
    <row r="39" spans="2:11" ht="15.75" thickBot="1">
      <c r="B39" s="1448"/>
      <c r="C39" s="93"/>
      <c r="D39" s="40" t="s">
        <v>42</v>
      </c>
      <c r="E39" s="291"/>
      <c r="F39" s="6"/>
      <c r="G39" s="6"/>
      <c r="H39" s="6"/>
      <c r="I39" s="6"/>
      <c r="J39" s="6"/>
      <c r="K39" s="6"/>
    </row>
    <row r="40" spans="2:11" ht="15.75" thickBot="1">
      <c r="B40" s="1448"/>
      <c r="C40" s="93"/>
      <c r="D40" s="40" t="s">
        <v>43</v>
      </c>
      <c r="E40" s="291"/>
      <c r="F40" s="6"/>
      <c r="G40" s="6"/>
      <c r="H40" s="6"/>
      <c r="I40" s="6"/>
      <c r="J40" s="6"/>
      <c r="K40" s="6"/>
    </row>
    <row r="41" spans="2:11" ht="15.75" thickBot="1">
      <c r="B41" s="1448"/>
      <c r="C41" s="93"/>
      <c r="D41" s="40" t="s">
        <v>44</v>
      </c>
      <c r="E41" s="291"/>
      <c r="F41" s="6"/>
      <c r="G41" s="6"/>
      <c r="H41" s="6"/>
      <c r="I41" s="6"/>
      <c r="J41" s="6"/>
      <c r="K41" s="6"/>
    </row>
    <row r="42" spans="2:11" ht="15.75" thickBot="1">
      <c r="B42" s="1449"/>
      <c r="C42" s="3"/>
      <c r="D42" s="40" t="s">
        <v>45</v>
      </c>
      <c r="E42" s="291"/>
      <c r="F42" s="6"/>
      <c r="G42" s="6"/>
      <c r="H42" s="6"/>
      <c r="I42" s="6"/>
      <c r="J42" s="6"/>
      <c r="K42" s="6"/>
    </row>
    <row r="43" spans="2:11" ht="15.75" thickBot="1">
      <c r="B43" s="37"/>
      <c r="C43" s="87"/>
      <c r="D43" s="6"/>
      <c r="E43" s="6"/>
      <c r="F43" s="6"/>
      <c r="G43" s="6"/>
      <c r="H43" s="6"/>
      <c r="I43" s="6"/>
      <c r="J43" s="6"/>
      <c r="K43" s="6"/>
    </row>
    <row r="44" spans="2:11" ht="15" customHeight="1" thickBot="1">
      <c r="B44" s="119" t="s">
        <v>49</v>
      </c>
      <c r="C44" s="120"/>
      <c r="D44" s="120"/>
      <c r="E44" s="121"/>
      <c r="G44" s="6"/>
      <c r="H44" s="6"/>
      <c r="I44" s="6"/>
      <c r="J44" s="6"/>
      <c r="K44" s="6"/>
    </row>
    <row r="45" spans="2:11" ht="24.75" thickBot="1">
      <c r="B45" s="47" t="s">
        <v>50</v>
      </c>
      <c r="C45" s="40" t="s">
        <v>51</v>
      </c>
      <c r="D45" s="40" t="s">
        <v>52</v>
      </c>
      <c r="E45" s="40" t="s">
        <v>53</v>
      </c>
      <c r="F45" s="6"/>
      <c r="G45" s="6"/>
      <c r="H45" s="6"/>
      <c r="I45" s="6"/>
      <c r="J45" s="6"/>
    </row>
    <row r="46" spans="2:11" ht="72.75" thickBot="1">
      <c r="B46" s="49">
        <v>42401</v>
      </c>
      <c r="C46" s="40">
        <v>0.01</v>
      </c>
      <c r="D46" s="50" t="s">
        <v>654</v>
      </c>
      <c r="E46" s="40"/>
      <c r="F46" s="6"/>
      <c r="G46" s="6"/>
      <c r="H46" s="6"/>
      <c r="I46" s="6"/>
      <c r="J46" s="6"/>
    </row>
    <row r="47" spans="2:11" ht="15.75" thickBot="1">
      <c r="B47" s="4"/>
      <c r="C47" s="94"/>
      <c r="D47" s="6"/>
      <c r="E47" s="6"/>
      <c r="F47" s="6"/>
      <c r="G47" s="6"/>
      <c r="H47" s="6"/>
      <c r="I47" s="6"/>
      <c r="J47" s="6"/>
      <c r="K47" s="6"/>
    </row>
    <row r="48" spans="2:11" ht="15.75" thickBot="1">
      <c r="B48" s="416" t="s">
        <v>55</v>
      </c>
      <c r="C48" s="95"/>
      <c r="D48" s="6"/>
      <c r="E48" s="6"/>
      <c r="F48" s="6"/>
      <c r="G48" s="6"/>
      <c r="H48" s="6"/>
      <c r="I48" s="6"/>
      <c r="J48" s="6"/>
      <c r="K48" s="6"/>
    </row>
    <row r="49" spans="2:11">
      <c r="B49" s="1555"/>
      <c r="C49" s="1556"/>
      <c r="D49" s="1556"/>
      <c r="E49" s="1557"/>
      <c r="F49" s="6"/>
      <c r="G49" s="6"/>
      <c r="H49" s="6"/>
      <c r="I49" s="6"/>
      <c r="J49" s="6"/>
      <c r="K49" s="6"/>
    </row>
    <row r="50" spans="2:11" ht="15.75" thickBot="1">
      <c r="B50" s="1558"/>
      <c r="C50" s="1559"/>
      <c r="D50" s="1559"/>
      <c r="E50" s="1560"/>
      <c r="F50" s="6"/>
      <c r="G50" s="6"/>
      <c r="H50" s="6"/>
      <c r="I50" s="6"/>
      <c r="J50" s="6"/>
      <c r="K50" s="6"/>
    </row>
    <row r="51" spans="2:11" ht="15.75" thickBot="1">
      <c r="B51" s="6"/>
      <c r="D51" s="6"/>
      <c r="E51" s="6"/>
      <c r="F51" s="6"/>
      <c r="G51" s="6"/>
      <c r="H51" s="6"/>
      <c r="I51" s="6"/>
      <c r="J51" s="6"/>
      <c r="K51" s="6"/>
    </row>
    <row r="52" spans="2:11" ht="24.75" thickBot="1">
      <c r="B52" s="51" t="s">
        <v>56</v>
      </c>
      <c r="C52" s="96"/>
      <c r="D52" s="6"/>
      <c r="E52" s="6"/>
      <c r="F52" s="6"/>
      <c r="G52" s="6"/>
      <c r="H52" s="6"/>
      <c r="I52" s="6"/>
      <c r="J52" s="6"/>
      <c r="K52" s="6"/>
    </row>
    <row r="53" spans="2:11" ht="15.75" thickBot="1">
      <c r="B53" s="2"/>
      <c r="C53" s="75"/>
      <c r="D53" s="6"/>
      <c r="E53" s="6"/>
      <c r="F53" s="6"/>
      <c r="G53" s="6"/>
      <c r="H53" s="6"/>
      <c r="I53" s="6"/>
      <c r="J53" s="6"/>
      <c r="K53" s="6"/>
    </row>
    <row r="54" spans="2:11" ht="84.75" thickBot="1">
      <c r="B54" s="52" t="s">
        <v>57</v>
      </c>
      <c r="C54" s="97"/>
      <c r="D54" s="43" t="s">
        <v>635</v>
      </c>
      <c r="E54" s="6"/>
      <c r="F54" s="6"/>
      <c r="G54" s="6"/>
      <c r="H54" s="6"/>
      <c r="I54" s="6"/>
      <c r="J54" s="6"/>
      <c r="K54" s="6"/>
    </row>
    <row r="55" spans="2:11">
      <c r="B55" s="1447" t="s">
        <v>59</v>
      </c>
      <c r="C55" s="93"/>
      <c r="D55" s="53" t="s">
        <v>60</v>
      </c>
      <c r="E55" s="6"/>
      <c r="F55" s="6"/>
      <c r="G55" s="6"/>
      <c r="H55" s="6"/>
      <c r="I55" s="6"/>
      <c r="J55" s="6"/>
      <c r="K55" s="6"/>
    </row>
    <row r="56" spans="2:11" ht="84">
      <c r="B56" s="1448"/>
      <c r="C56" s="93"/>
      <c r="D56" s="46" t="s">
        <v>636</v>
      </c>
      <c r="E56" s="6"/>
      <c r="F56" s="6"/>
      <c r="G56" s="6"/>
      <c r="H56" s="6"/>
      <c r="I56" s="6"/>
      <c r="J56" s="6"/>
      <c r="K56" s="6"/>
    </row>
    <row r="57" spans="2:11">
      <c r="B57" s="1448"/>
      <c r="C57" s="93"/>
      <c r="D57" s="53" t="s">
        <v>134</v>
      </c>
      <c r="E57" s="6"/>
      <c r="F57" s="6"/>
      <c r="G57" s="6"/>
      <c r="H57" s="6"/>
      <c r="I57" s="6"/>
      <c r="J57" s="6"/>
      <c r="K57" s="6"/>
    </row>
    <row r="58" spans="2:11">
      <c r="B58" s="1448"/>
      <c r="C58" s="93"/>
      <c r="D58" s="46" t="s">
        <v>64</v>
      </c>
      <c r="E58" s="6"/>
      <c r="F58" s="6"/>
      <c r="G58" s="6"/>
      <c r="H58" s="6"/>
      <c r="I58" s="6"/>
      <c r="J58" s="6"/>
      <c r="K58" s="6"/>
    </row>
    <row r="59" spans="2:11" ht="36">
      <c r="B59" s="1448"/>
      <c r="C59" s="93"/>
      <c r="D59" s="46" t="s">
        <v>637</v>
      </c>
      <c r="E59" s="6"/>
      <c r="F59" s="6"/>
      <c r="G59" s="6"/>
      <c r="H59" s="6"/>
      <c r="I59" s="6"/>
      <c r="J59" s="6"/>
      <c r="K59" s="6"/>
    </row>
    <row r="60" spans="2:11" ht="24">
      <c r="B60" s="1448"/>
      <c r="C60" s="93"/>
      <c r="D60" s="46" t="s">
        <v>638</v>
      </c>
      <c r="E60" s="6"/>
      <c r="F60" s="6"/>
      <c r="G60" s="6"/>
      <c r="H60" s="6"/>
      <c r="I60" s="6"/>
      <c r="J60" s="6"/>
      <c r="K60" s="6"/>
    </row>
    <row r="61" spans="2:11">
      <c r="B61" s="1448"/>
      <c r="C61" s="93"/>
      <c r="D61" s="46" t="s">
        <v>639</v>
      </c>
      <c r="E61" s="6"/>
      <c r="F61" s="6"/>
      <c r="G61" s="6"/>
      <c r="H61" s="6"/>
      <c r="I61" s="6"/>
      <c r="J61" s="6"/>
      <c r="K61" s="6"/>
    </row>
    <row r="62" spans="2:11">
      <c r="B62" s="1448"/>
      <c r="C62" s="93"/>
      <c r="D62" s="53" t="s">
        <v>141</v>
      </c>
      <c r="E62" s="6"/>
      <c r="F62" s="6"/>
      <c r="G62" s="6"/>
      <c r="H62" s="6"/>
      <c r="I62" s="6"/>
      <c r="J62" s="6"/>
      <c r="K62" s="6"/>
    </row>
    <row r="63" spans="2:11" ht="60.75" thickBot="1">
      <c r="B63" s="1449"/>
      <c r="C63" s="3"/>
      <c r="D63" s="40" t="s">
        <v>640</v>
      </c>
      <c r="E63" s="6"/>
      <c r="F63" s="6"/>
      <c r="G63" s="6"/>
      <c r="H63" s="6"/>
      <c r="I63" s="6"/>
      <c r="J63" s="6"/>
      <c r="K63" s="6"/>
    </row>
    <row r="64" spans="2:11" ht="24.75" thickBot="1">
      <c r="B64" s="47" t="s">
        <v>72</v>
      </c>
      <c r="C64" s="3"/>
      <c r="D64" s="40"/>
      <c r="E64" s="6"/>
      <c r="F64" s="6"/>
      <c r="G64" s="6"/>
      <c r="H64" s="6"/>
      <c r="I64" s="6"/>
      <c r="J64" s="6"/>
      <c r="K64" s="6"/>
    </row>
    <row r="65" spans="2:11" ht="276">
      <c r="B65" s="1447" t="s">
        <v>73</v>
      </c>
      <c r="C65" s="93"/>
      <c r="D65" s="46" t="s">
        <v>641</v>
      </c>
      <c r="E65" s="6"/>
      <c r="F65" s="6"/>
      <c r="G65" s="6"/>
      <c r="H65" s="6"/>
      <c r="I65" s="6"/>
      <c r="J65" s="6"/>
      <c r="K65" s="6"/>
    </row>
    <row r="66" spans="2:11" ht="132">
      <c r="B66" s="1448"/>
      <c r="C66" s="93"/>
      <c r="D66" s="46" t="s">
        <v>642</v>
      </c>
      <c r="E66" s="6"/>
      <c r="F66" s="6"/>
      <c r="G66" s="6"/>
      <c r="H66" s="6"/>
      <c r="I66" s="6"/>
      <c r="J66" s="6"/>
      <c r="K66" s="6"/>
    </row>
    <row r="67" spans="2:11" ht="72.75" thickBot="1">
      <c r="B67" s="1449"/>
      <c r="C67" s="3"/>
      <c r="D67" s="40" t="s">
        <v>643</v>
      </c>
      <c r="E67" s="6"/>
      <c r="F67" s="6"/>
      <c r="G67" s="6"/>
      <c r="H67" s="6"/>
      <c r="I67" s="6"/>
      <c r="J67" s="6"/>
      <c r="K67" s="6"/>
    </row>
    <row r="68" spans="2:11">
      <c r="B68" s="1447" t="s">
        <v>90</v>
      </c>
      <c r="C68" s="93"/>
      <c r="D68" s="46"/>
      <c r="E68" s="6"/>
      <c r="F68" s="6"/>
      <c r="G68" s="6"/>
      <c r="H68" s="6"/>
      <c r="I68" s="6"/>
      <c r="J68" s="6"/>
      <c r="K68" s="6"/>
    </row>
    <row r="69" spans="2:11">
      <c r="B69" s="1448"/>
      <c r="C69" s="93"/>
      <c r="D69" s="17"/>
      <c r="E69" s="6"/>
      <c r="F69" s="6"/>
      <c r="G69" s="6"/>
      <c r="H69" s="6"/>
      <c r="I69" s="6"/>
      <c r="J69" s="6"/>
      <c r="K69" s="6"/>
    </row>
    <row r="70" spans="2:11">
      <c r="B70" s="1448"/>
      <c r="C70" s="93"/>
      <c r="D70" s="46" t="s">
        <v>91</v>
      </c>
      <c r="E70" s="6"/>
      <c r="F70" s="6"/>
      <c r="G70" s="6"/>
      <c r="H70" s="6"/>
      <c r="I70" s="6"/>
      <c r="J70" s="6"/>
      <c r="K70" s="6"/>
    </row>
    <row r="71" spans="2:11" ht="61.5">
      <c r="B71" s="1448"/>
      <c r="C71" s="93"/>
      <c r="D71" s="46" t="s">
        <v>644</v>
      </c>
      <c r="E71" s="6"/>
      <c r="F71" s="6"/>
      <c r="G71" s="6"/>
      <c r="H71" s="6"/>
      <c r="I71" s="6"/>
      <c r="J71" s="6"/>
      <c r="K71" s="6"/>
    </row>
    <row r="72" spans="2:11" ht="49.5">
      <c r="B72" s="1448"/>
      <c r="C72" s="93"/>
      <c r="D72" s="46" t="s">
        <v>645</v>
      </c>
      <c r="E72" s="6"/>
      <c r="F72" s="6"/>
      <c r="G72" s="6"/>
      <c r="H72" s="6"/>
      <c r="I72" s="6"/>
      <c r="J72" s="6"/>
      <c r="K72" s="6"/>
    </row>
    <row r="73" spans="2:11" ht="49.5">
      <c r="B73" s="1448"/>
      <c r="C73" s="93"/>
      <c r="D73" s="46" t="s">
        <v>646</v>
      </c>
      <c r="E73" s="6"/>
      <c r="F73" s="6"/>
      <c r="G73" s="6"/>
      <c r="H73" s="6"/>
      <c r="I73" s="6"/>
      <c r="J73" s="6"/>
      <c r="K73" s="6"/>
    </row>
    <row r="74" spans="2:11" ht="72.75" thickBot="1">
      <c r="B74" s="1449"/>
      <c r="C74" s="3"/>
      <c r="D74" s="40" t="s">
        <v>647</v>
      </c>
      <c r="E74" s="6"/>
      <c r="F74" s="6"/>
      <c r="G74" s="6"/>
      <c r="H74" s="6"/>
      <c r="I74" s="6"/>
      <c r="J74" s="6"/>
      <c r="K74" s="6"/>
    </row>
    <row r="75" spans="2:11">
      <c r="B75" s="6"/>
      <c r="D75" s="6"/>
      <c r="E75" s="6"/>
      <c r="F75" s="6"/>
      <c r="G75" s="6"/>
      <c r="H75" s="6"/>
      <c r="I75" s="6"/>
      <c r="J75" s="6"/>
      <c r="K75" s="6"/>
    </row>
    <row r="76" spans="2:11">
      <c r="B76" s="6"/>
      <c r="D76" s="6"/>
      <c r="E76" s="6"/>
      <c r="F76" s="6"/>
      <c r="G76" s="6"/>
      <c r="H76" s="6"/>
      <c r="I76" s="6"/>
      <c r="J76" s="6"/>
      <c r="K76" s="6"/>
    </row>
    <row r="77" spans="2:11">
      <c r="B77" s="6"/>
      <c r="D77" s="6"/>
      <c r="E77" s="6"/>
      <c r="F77" s="6"/>
      <c r="G77" s="6"/>
      <c r="H77" s="6"/>
      <c r="I77" s="6"/>
      <c r="J77" s="6"/>
      <c r="K77" s="6"/>
    </row>
    <row r="78" spans="2:11">
      <c r="B78" s="6"/>
      <c r="D78" s="6"/>
      <c r="E78" s="6"/>
      <c r="F78" s="6"/>
      <c r="G78" s="6"/>
      <c r="H78" s="6"/>
      <c r="I78" s="6"/>
      <c r="J78" s="6"/>
      <c r="K78" s="6"/>
    </row>
    <row r="79" spans="2:11">
      <c r="B79" s="6"/>
      <c r="D79" s="6"/>
      <c r="E79" s="6"/>
      <c r="F79" s="6"/>
      <c r="G79" s="6"/>
      <c r="H79" s="6"/>
      <c r="I79" s="6"/>
      <c r="J79" s="6"/>
      <c r="K79" s="6"/>
    </row>
    <row r="80" spans="2:11">
      <c r="B80" s="6"/>
      <c r="D80" s="6"/>
      <c r="E80" s="6"/>
      <c r="F80" s="6"/>
      <c r="G80" s="6"/>
      <c r="H80" s="6"/>
      <c r="I80" s="6"/>
      <c r="J80" s="6"/>
      <c r="K80" s="6"/>
    </row>
    <row r="81" spans="2:11">
      <c r="B81" s="6"/>
      <c r="D81" s="6"/>
      <c r="E81" s="6"/>
      <c r="F81" s="6"/>
      <c r="G81" s="6"/>
      <c r="H81" s="6"/>
      <c r="I81" s="6"/>
      <c r="J81" s="6"/>
      <c r="K81" s="6"/>
    </row>
    <row r="82" spans="2:11">
      <c r="B82" s="6"/>
      <c r="D82" s="6"/>
      <c r="E82" s="6"/>
      <c r="F82" s="6"/>
      <c r="G82" s="6"/>
      <c r="H82" s="6"/>
      <c r="I82" s="6"/>
      <c r="J82" s="6"/>
      <c r="K82" s="6"/>
    </row>
    <row r="83" spans="2:11">
      <c r="B83" s="6"/>
      <c r="D83" s="6"/>
      <c r="E83" s="6"/>
      <c r="F83" s="6"/>
      <c r="G83" s="6"/>
      <c r="H83" s="6"/>
      <c r="I83" s="6"/>
      <c r="J83" s="6"/>
      <c r="K83" s="6"/>
    </row>
    <row r="84" spans="2:11">
      <c r="B84" s="6"/>
      <c r="D84" s="6"/>
      <c r="E84" s="6"/>
      <c r="F84" s="6"/>
      <c r="G84" s="6"/>
      <c r="H84" s="6"/>
      <c r="I84" s="6"/>
      <c r="J84" s="6"/>
      <c r="K84" s="6"/>
    </row>
    <row r="85" spans="2:11">
      <c r="B85" s="6"/>
      <c r="D85" s="6"/>
      <c r="E85" s="6"/>
      <c r="F85" s="6"/>
      <c r="G85" s="6"/>
      <c r="H85" s="6"/>
      <c r="I85" s="6"/>
      <c r="J85" s="6"/>
      <c r="K85" s="6"/>
    </row>
    <row r="86" spans="2:11">
      <c r="B86" s="6"/>
      <c r="D86" s="6"/>
      <c r="E86" s="6"/>
      <c r="F86" s="6"/>
      <c r="G86" s="6"/>
      <c r="H86" s="6"/>
      <c r="I86" s="6"/>
      <c r="J86" s="6"/>
      <c r="K86" s="6"/>
    </row>
    <row r="87" spans="2:11">
      <c r="B87" s="6"/>
      <c r="D87" s="6"/>
      <c r="E87" s="6"/>
      <c r="F87" s="6"/>
      <c r="G87" s="6"/>
      <c r="H87" s="6"/>
      <c r="I87" s="6"/>
      <c r="J87" s="6"/>
      <c r="K87" s="6"/>
    </row>
    <row r="88" spans="2:11">
      <c r="B88" s="6"/>
      <c r="D88" s="6"/>
      <c r="E88" s="6"/>
      <c r="F88" s="6"/>
      <c r="G88" s="6"/>
      <c r="H88" s="6"/>
      <c r="I88" s="6"/>
      <c r="J88" s="6"/>
      <c r="K88" s="6"/>
    </row>
    <row r="89" spans="2:11">
      <c r="B89" s="6"/>
      <c r="D89" s="6"/>
      <c r="E89" s="6"/>
      <c r="F89" s="6"/>
      <c r="G89" s="6"/>
      <c r="H89" s="6"/>
      <c r="I89" s="6"/>
      <c r="J89" s="6"/>
      <c r="K89" s="6"/>
    </row>
    <row r="90" spans="2:11">
      <c r="B90" s="6"/>
      <c r="D90" s="6"/>
      <c r="E90" s="6"/>
      <c r="F90" s="6"/>
      <c r="G90" s="6"/>
      <c r="H90" s="6"/>
      <c r="I90" s="6"/>
      <c r="J90" s="6"/>
      <c r="K90" s="6"/>
    </row>
    <row r="91" spans="2:11">
      <c r="B91" s="6"/>
      <c r="D91" s="6"/>
      <c r="E91" s="6"/>
      <c r="F91" s="6"/>
      <c r="G91" s="6"/>
      <c r="H91" s="6"/>
      <c r="I91" s="6"/>
      <c r="J91" s="6"/>
      <c r="K91" s="6"/>
    </row>
    <row r="92" spans="2:11">
      <c r="B92" s="6"/>
      <c r="D92" s="6"/>
      <c r="E92" s="6"/>
      <c r="F92" s="6"/>
      <c r="G92" s="6"/>
      <c r="H92" s="6"/>
      <c r="I92" s="6"/>
      <c r="J92" s="6"/>
      <c r="K92" s="6"/>
    </row>
    <row r="93" spans="2:11">
      <c r="B93" s="6"/>
      <c r="D93" s="6"/>
      <c r="E93" s="6"/>
      <c r="F93" s="6"/>
      <c r="G93" s="6"/>
      <c r="H93" s="6"/>
      <c r="I93" s="6"/>
      <c r="J93" s="6"/>
      <c r="K93" s="6"/>
    </row>
    <row r="94" spans="2:11">
      <c r="B94" s="6"/>
      <c r="D94" s="6"/>
      <c r="E94" s="6"/>
      <c r="F94" s="6"/>
      <c r="G94" s="6"/>
      <c r="H94" s="6"/>
      <c r="I94" s="6"/>
      <c r="J94" s="6"/>
      <c r="K94" s="6"/>
    </row>
    <row r="95" spans="2:11">
      <c r="B95" s="6"/>
      <c r="D95" s="6"/>
      <c r="E95" s="6"/>
      <c r="F95" s="6"/>
      <c r="G95" s="6"/>
      <c r="H95" s="6"/>
      <c r="I95" s="6"/>
      <c r="J95" s="6"/>
      <c r="K95" s="6"/>
    </row>
    <row r="96" spans="2:11">
      <c r="B96" s="6"/>
      <c r="D96" s="6"/>
      <c r="E96" s="6"/>
      <c r="F96" s="6"/>
      <c r="G96" s="6"/>
      <c r="H96" s="6"/>
      <c r="I96" s="6"/>
      <c r="J96" s="6"/>
      <c r="K96" s="6"/>
    </row>
    <row r="97" spans="2:11">
      <c r="B97" s="6"/>
      <c r="D97" s="6"/>
      <c r="E97" s="6"/>
      <c r="F97" s="6"/>
      <c r="G97" s="6"/>
      <c r="H97" s="6"/>
      <c r="I97" s="6"/>
      <c r="J97" s="6"/>
      <c r="K97" s="6"/>
    </row>
    <row r="98" spans="2:11">
      <c r="B98" s="6"/>
      <c r="D98" s="6"/>
      <c r="E98" s="6"/>
      <c r="F98" s="6"/>
      <c r="G98" s="6"/>
      <c r="H98" s="6"/>
      <c r="I98" s="6"/>
      <c r="J98" s="6"/>
      <c r="K98" s="6"/>
    </row>
    <row r="99" spans="2:11">
      <c r="B99" s="6"/>
      <c r="D99" s="6"/>
      <c r="E99" s="6"/>
      <c r="F99" s="6"/>
      <c r="G99" s="6"/>
      <c r="H99" s="6"/>
      <c r="I99" s="6"/>
      <c r="J99" s="6"/>
      <c r="K99" s="6"/>
    </row>
    <row r="100" spans="2:11">
      <c r="B100" s="6"/>
      <c r="D100" s="6"/>
      <c r="E100" s="6"/>
      <c r="F100" s="6"/>
      <c r="G100" s="6"/>
      <c r="H100" s="6"/>
      <c r="I100" s="6"/>
      <c r="J100" s="6"/>
      <c r="K100" s="6"/>
    </row>
    <row r="101" spans="2:11">
      <c r="B101" s="6"/>
      <c r="D101" s="6"/>
      <c r="E101" s="6"/>
      <c r="F101" s="6"/>
      <c r="G101" s="6"/>
      <c r="H101" s="6"/>
      <c r="I101" s="6"/>
      <c r="J101" s="6"/>
      <c r="K101" s="6"/>
    </row>
    <row r="102" spans="2:11">
      <c r="B102" s="6"/>
      <c r="D102" s="6"/>
      <c r="E102" s="6"/>
      <c r="F102" s="6"/>
      <c r="G102" s="6"/>
      <c r="H102" s="6"/>
      <c r="I102" s="6"/>
      <c r="J102" s="6"/>
      <c r="K102" s="6"/>
    </row>
    <row r="103" spans="2:11">
      <c r="B103" s="6"/>
      <c r="D103" s="6"/>
      <c r="E103" s="6"/>
      <c r="F103" s="6"/>
      <c r="G103" s="6"/>
      <c r="H103" s="6"/>
      <c r="I103" s="6"/>
      <c r="J103" s="6"/>
      <c r="K103" s="6"/>
    </row>
    <row r="104" spans="2:11">
      <c r="B104" s="6"/>
      <c r="D104" s="6"/>
      <c r="E104" s="6"/>
      <c r="F104" s="6"/>
      <c r="G104" s="6"/>
      <c r="H104" s="6"/>
      <c r="I104" s="6"/>
      <c r="J104" s="6"/>
      <c r="K104" s="6"/>
    </row>
    <row r="105" spans="2:11">
      <c r="B105" s="6"/>
      <c r="D105" s="6"/>
      <c r="E105" s="6"/>
      <c r="F105" s="6"/>
      <c r="G105" s="6"/>
      <c r="H105" s="6"/>
      <c r="I105" s="6"/>
      <c r="J105" s="6"/>
      <c r="K105" s="6"/>
    </row>
    <row r="106" spans="2:11">
      <c r="B106" s="6"/>
      <c r="D106" s="6"/>
      <c r="E106" s="6"/>
      <c r="F106" s="6"/>
      <c r="G106" s="6"/>
      <c r="H106" s="6"/>
      <c r="I106" s="6"/>
      <c r="J106" s="6"/>
      <c r="K106" s="6"/>
    </row>
    <row r="107" spans="2:11">
      <c r="B107" s="6"/>
      <c r="D107" s="6"/>
      <c r="E107" s="6"/>
      <c r="F107" s="6"/>
      <c r="G107" s="6"/>
      <c r="H107" s="6"/>
      <c r="I107" s="6"/>
      <c r="J107" s="6"/>
      <c r="K107" s="6"/>
    </row>
    <row r="108" spans="2:11">
      <c r="B108" s="6"/>
      <c r="D108" s="6"/>
      <c r="E108" s="6"/>
      <c r="F108" s="6"/>
      <c r="G108" s="6"/>
      <c r="H108" s="6"/>
      <c r="I108" s="6"/>
      <c r="J108" s="6"/>
      <c r="K108" s="6"/>
    </row>
    <row r="109" spans="2:11">
      <c r="B109" s="6"/>
      <c r="D109" s="6"/>
      <c r="E109" s="6"/>
      <c r="F109" s="6"/>
      <c r="G109" s="6"/>
      <c r="H109" s="6"/>
      <c r="I109" s="6"/>
      <c r="J109" s="6"/>
      <c r="K109" s="6"/>
    </row>
    <row r="110" spans="2:11">
      <c r="B110" s="6"/>
      <c r="D110" s="6"/>
      <c r="E110" s="6"/>
      <c r="F110" s="6"/>
      <c r="G110" s="6"/>
      <c r="H110" s="6"/>
      <c r="I110" s="6"/>
      <c r="J110" s="6"/>
      <c r="K110" s="6"/>
    </row>
    <row r="111" spans="2:11">
      <c r="B111" s="6"/>
      <c r="D111" s="6"/>
      <c r="E111" s="6"/>
      <c r="F111" s="6"/>
      <c r="G111" s="6"/>
      <c r="H111" s="6"/>
      <c r="I111" s="6"/>
      <c r="J111" s="6"/>
      <c r="K111" s="6"/>
    </row>
    <row r="112" spans="2:11">
      <c r="B112" s="6"/>
      <c r="D112" s="6"/>
      <c r="E112" s="6"/>
      <c r="F112" s="6"/>
      <c r="G112" s="6"/>
      <c r="H112" s="6"/>
      <c r="I112" s="6"/>
      <c r="J112" s="6"/>
      <c r="K112" s="6"/>
    </row>
    <row r="113" spans="2:11">
      <c r="B113" s="6"/>
      <c r="D113" s="6"/>
      <c r="E113" s="6"/>
      <c r="F113" s="6"/>
      <c r="G113" s="6"/>
      <c r="H113" s="6"/>
      <c r="I113" s="6"/>
      <c r="J113" s="6"/>
      <c r="K113" s="6"/>
    </row>
    <row r="114" spans="2:11">
      <c r="B114" s="6"/>
      <c r="D114" s="6"/>
      <c r="E114" s="6"/>
      <c r="F114" s="6"/>
      <c r="G114" s="6"/>
      <c r="H114" s="6"/>
      <c r="I114" s="6"/>
      <c r="J114" s="6"/>
      <c r="K114" s="6"/>
    </row>
    <row r="115" spans="2:11">
      <c r="B115" s="6"/>
      <c r="D115" s="6"/>
      <c r="E115" s="6"/>
      <c r="F115" s="6"/>
      <c r="G115" s="6"/>
      <c r="H115" s="6"/>
      <c r="I115" s="6"/>
      <c r="J115" s="6"/>
      <c r="K115" s="6"/>
    </row>
    <row r="116" spans="2:11">
      <c r="B116" s="6"/>
      <c r="D116" s="6"/>
      <c r="E116" s="6"/>
      <c r="F116" s="6"/>
      <c r="G116" s="6"/>
      <c r="H116" s="6"/>
      <c r="I116" s="6"/>
      <c r="J116" s="6"/>
      <c r="K116" s="6"/>
    </row>
    <row r="117" spans="2:11">
      <c r="B117" s="6"/>
      <c r="D117" s="6"/>
      <c r="E117" s="6"/>
      <c r="F117" s="6"/>
      <c r="G117" s="6"/>
      <c r="H117" s="6"/>
      <c r="I117" s="6"/>
      <c r="J117" s="6"/>
      <c r="K117" s="6"/>
    </row>
    <row r="118" spans="2:11">
      <c r="B118" s="6"/>
      <c r="D118" s="6"/>
      <c r="E118" s="6"/>
      <c r="F118" s="6"/>
      <c r="G118" s="6"/>
      <c r="H118" s="6"/>
      <c r="I118" s="6"/>
      <c r="J118" s="6"/>
      <c r="K118" s="6"/>
    </row>
    <row r="119" spans="2:11">
      <c r="B119" s="6"/>
      <c r="D119" s="6"/>
      <c r="E119" s="6"/>
      <c r="F119" s="6"/>
      <c r="G119" s="6"/>
      <c r="H119" s="6"/>
      <c r="I119" s="6"/>
      <c r="J119" s="6"/>
      <c r="K119" s="6"/>
    </row>
    <row r="120" spans="2:11">
      <c r="B120" s="6"/>
      <c r="D120" s="6"/>
      <c r="E120" s="6"/>
      <c r="F120" s="6"/>
      <c r="G120" s="6"/>
      <c r="H120" s="6"/>
      <c r="I120" s="6"/>
      <c r="J120" s="6"/>
      <c r="K120" s="6"/>
    </row>
    <row r="121" spans="2:11">
      <c r="B121" s="6"/>
      <c r="D121" s="6"/>
      <c r="E121" s="6"/>
      <c r="F121" s="6"/>
      <c r="G121" s="6"/>
      <c r="H121" s="6"/>
      <c r="I121" s="6"/>
      <c r="J121" s="6"/>
      <c r="K121" s="6"/>
    </row>
    <row r="122" spans="2:11">
      <c r="B122" s="6"/>
      <c r="D122" s="6"/>
      <c r="E122" s="6"/>
      <c r="F122" s="6"/>
      <c r="G122" s="6"/>
      <c r="H122" s="6"/>
      <c r="I122" s="6"/>
      <c r="J122" s="6"/>
      <c r="K122" s="6"/>
    </row>
    <row r="123" spans="2:11">
      <c r="B123" s="6"/>
      <c r="D123" s="6"/>
      <c r="E123" s="6"/>
      <c r="F123" s="6"/>
      <c r="G123" s="6"/>
      <c r="H123" s="6"/>
      <c r="I123" s="6"/>
      <c r="J123" s="6"/>
      <c r="K123" s="6"/>
    </row>
    <row r="124" spans="2:11">
      <c r="B124" s="6"/>
      <c r="D124" s="6"/>
      <c r="E124" s="6"/>
      <c r="F124" s="6"/>
      <c r="G124" s="6"/>
      <c r="H124" s="6"/>
      <c r="I124" s="6"/>
      <c r="J124" s="6"/>
      <c r="K124" s="6"/>
    </row>
    <row r="125" spans="2:11">
      <c r="B125" s="6"/>
      <c r="D125" s="6"/>
      <c r="E125" s="6"/>
      <c r="F125" s="6"/>
      <c r="G125" s="6"/>
      <c r="H125" s="6"/>
      <c r="I125" s="6"/>
      <c r="J125" s="6"/>
      <c r="K125" s="6"/>
    </row>
    <row r="126" spans="2:11">
      <c r="B126" s="6"/>
      <c r="D126" s="6"/>
      <c r="E126" s="6"/>
      <c r="F126" s="6"/>
      <c r="G126" s="6"/>
      <c r="H126" s="6"/>
      <c r="I126" s="6"/>
      <c r="J126" s="6"/>
      <c r="K126" s="6"/>
    </row>
    <row r="127" spans="2:11">
      <c r="B127" s="6"/>
      <c r="D127" s="6"/>
      <c r="E127" s="6"/>
      <c r="F127" s="6"/>
      <c r="G127" s="6"/>
      <c r="H127" s="6"/>
      <c r="I127" s="6"/>
      <c r="J127" s="6"/>
      <c r="K127" s="6"/>
    </row>
    <row r="128" spans="2:11">
      <c r="B128" s="6"/>
      <c r="D128" s="6"/>
      <c r="E128" s="6"/>
      <c r="F128" s="6"/>
      <c r="G128" s="6"/>
      <c r="H128" s="6"/>
      <c r="I128" s="6"/>
      <c r="J128" s="6"/>
      <c r="K128" s="6"/>
    </row>
    <row r="129" spans="2:11">
      <c r="B129" s="6"/>
      <c r="D129" s="6"/>
      <c r="E129" s="6"/>
      <c r="F129" s="6"/>
      <c r="G129" s="6"/>
      <c r="H129" s="6"/>
      <c r="I129" s="6"/>
      <c r="J129" s="6"/>
      <c r="K129" s="6"/>
    </row>
    <row r="130" spans="2:11">
      <c r="B130" s="6"/>
      <c r="D130" s="6"/>
      <c r="E130" s="6"/>
      <c r="F130" s="6"/>
      <c r="G130" s="6"/>
      <c r="H130" s="6"/>
      <c r="I130" s="6"/>
      <c r="J130" s="6"/>
      <c r="K130" s="6"/>
    </row>
    <row r="131" spans="2:11">
      <c r="B131" s="6"/>
      <c r="D131" s="6"/>
      <c r="E131" s="6"/>
      <c r="F131" s="6"/>
      <c r="G131" s="6"/>
      <c r="H131" s="6"/>
      <c r="I131" s="6"/>
      <c r="J131" s="6"/>
      <c r="K131" s="6"/>
    </row>
    <row r="132" spans="2:11">
      <c r="B132" s="6"/>
      <c r="D132" s="6"/>
      <c r="E132" s="6"/>
      <c r="F132" s="6"/>
      <c r="G132" s="6"/>
      <c r="H132" s="6"/>
      <c r="I132" s="6"/>
      <c r="J132" s="6"/>
      <c r="K132" s="6"/>
    </row>
    <row r="133" spans="2:11">
      <c r="B133" s="6"/>
      <c r="D133" s="6"/>
      <c r="E133" s="6"/>
      <c r="F133" s="6"/>
      <c r="G133" s="6"/>
      <c r="H133" s="6"/>
      <c r="I133" s="6"/>
      <c r="J133" s="6"/>
      <c r="K133" s="6"/>
    </row>
    <row r="134" spans="2:11">
      <c r="B134" s="6"/>
      <c r="D134" s="6"/>
      <c r="E134" s="6"/>
      <c r="F134" s="6"/>
      <c r="G134" s="6"/>
      <c r="H134" s="6"/>
      <c r="I134" s="6"/>
      <c r="J134" s="6"/>
      <c r="K134" s="6"/>
    </row>
    <row r="135" spans="2:11">
      <c r="B135" s="6"/>
      <c r="D135" s="6"/>
      <c r="E135" s="6"/>
      <c r="F135" s="6"/>
      <c r="G135" s="6"/>
      <c r="H135" s="6"/>
      <c r="I135" s="6"/>
      <c r="J135" s="6"/>
      <c r="K135" s="6"/>
    </row>
    <row r="136" spans="2:11">
      <c r="B136" s="6"/>
      <c r="D136" s="6"/>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sheetData>
  <mergeCells count="23">
    <mergeCell ref="A1:P1"/>
    <mergeCell ref="A2:P2"/>
    <mergeCell ref="A3:P3"/>
    <mergeCell ref="A4:D4"/>
    <mergeCell ref="A5:P5"/>
    <mergeCell ref="B55:B63"/>
    <mergeCell ref="B65:B67"/>
    <mergeCell ref="B68:B74"/>
    <mergeCell ref="B15:B22"/>
    <mergeCell ref="D15:I15"/>
    <mergeCell ref="D18:I18"/>
    <mergeCell ref="D23:I23"/>
    <mergeCell ref="D24:I24"/>
    <mergeCell ref="B26:E26"/>
    <mergeCell ref="B27:B33"/>
    <mergeCell ref="B35:E35"/>
    <mergeCell ref="B36:B42"/>
    <mergeCell ref="B49:E50"/>
    <mergeCell ref="B10:D10"/>
    <mergeCell ref="F10:R10"/>
    <mergeCell ref="F11:R11"/>
    <mergeCell ref="E12:R12"/>
    <mergeCell ref="E13:R13"/>
  </mergeCells>
  <conditionalFormatting sqref="F11:R11">
    <cfRule type="expression" dxfId="72" priority="4">
      <formula>E11="NO SE REPORTA"</formula>
    </cfRule>
    <cfRule type="expression" dxfId="71" priority="5">
      <formula>E10="NO APLICA"</formula>
    </cfRule>
  </conditionalFormatting>
  <conditionalFormatting sqref="E12:R12">
    <cfRule type="expression" dxfId="70" priority="3">
      <formula>E11="SI SE REPORTA"</formula>
    </cfRule>
  </conditionalFormatting>
  <conditionalFormatting sqref="F10:R10">
    <cfRule type="expression" dxfId="69" priority="1">
      <formula>E10="NO SE REPORTA"</formula>
    </cfRule>
    <cfRule type="expression" dxfId="68" priority="2">
      <formula>E9="NO APLICA"</formula>
    </cfRule>
  </conditionalFormatting>
  <dataValidations count="4">
    <dataValidation type="whole" operator="greaterThanOrEqual" allowBlank="1" showErrorMessage="1" errorTitle="ERROR" error="Escriba un número igual o mayor que 0" promptTitle="ERROR" prompt="Escriba un número igual o mayor que 0" sqref="E16:E17 E20:H21">
      <formula1>0</formula1>
    </dataValidation>
    <dataValidation allowBlank="1" showInputMessage="1" showErrorMessage="1" sqref="I20:I21"/>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ignoredErrors>
    <ignoredError sqref="F10" unlockedFormula="1"/>
  </ignoredErrors>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R180"/>
  <sheetViews>
    <sheetView showGridLines="0" topLeftCell="A6" zoomScale="98" zoomScaleNormal="98" workbookViewId="0">
      <selection activeCell="J29" sqref="J29"/>
    </sheetView>
  </sheetViews>
  <sheetFormatPr baseColWidth="10" defaultRowHeight="15"/>
  <cols>
    <col min="1" max="1" width="1.85546875" customWidth="1"/>
    <col min="2" max="2" width="12.85546875" customWidth="1"/>
    <col min="3" max="3" width="5" style="86" bestFit="1" customWidth="1"/>
    <col min="4" max="4" width="34.85546875" customWidth="1"/>
    <col min="5" max="7" width="25" customWidth="1"/>
    <col min="8" max="8" width="15.140625" customWidth="1"/>
    <col min="9" max="9" width="13" customWidth="1"/>
  </cols>
  <sheetData>
    <row r="1" spans="1:21" s="490" customFormat="1" ht="100.5" customHeight="1" thickBot="1">
      <c r="A1" s="1334"/>
      <c r="B1" s="1335"/>
      <c r="C1" s="1335"/>
      <c r="D1" s="1335"/>
      <c r="E1" s="1335"/>
      <c r="F1" s="1335"/>
      <c r="G1" s="1335"/>
      <c r="H1" s="1335"/>
      <c r="I1" s="1335"/>
      <c r="J1" s="1335"/>
      <c r="K1" s="1335"/>
      <c r="L1" s="1335"/>
      <c r="M1" s="1335"/>
      <c r="N1" s="1335"/>
      <c r="O1" s="1335"/>
      <c r="P1" s="1336"/>
      <c r="Q1" s="389"/>
      <c r="R1" s="389"/>
    </row>
    <row r="2" spans="1:21" s="491" customFormat="1" ht="16.5" thickBot="1">
      <c r="A2" s="1342" t="str">
        <f>'Datos Generales'!C5</f>
        <v>Corporación Autónoma Regional del Cesar – CORPOCESAR</v>
      </c>
      <c r="B2" s="1343"/>
      <c r="C2" s="1343"/>
      <c r="D2" s="1343"/>
      <c r="E2" s="1343"/>
      <c r="F2" s="1343"/>
      <c r="G2" s="1343"/>
      <c r="H2" s="1343"/>
      <c r="I2" s="1343"/>
      <c r="J2" s="1343"/>
      <c r="K2" s="1343"/>
      <c r="L2" s="1343"/>
      <c r="M2" s="1343"/>
      <c r="N2" s="1343"/>
      <c r="O2" s="1343"/>
      <c r="P2" s="1344"/>
      <c r="Q2" s="389"/>
      <c r="R2" s="389"/>
    </row>
    <row r="3" spans="1:21" s="491" customFormat="1" ht="16.5" thickBot="1">
      <c r="A3" s="1337" t="s">
        <v>1294</v>
      </c>
      <c r="B3" s="1338"/>
      <c r="C3" s="1338"/>
      <c r="D3" s="1338"/>
      <c r="E3" s="1338"/>
      <c r="F3" s="1338"/>
      <c r="G3" s="1338"/>
      <c r="H3" s="1338"/>
      <c r="I3" s="1338"/>
      <c r="J3" s="1338"/>
      <c r="K3" s="1338"/>
      <c r="L3" s="1338"/>
      <c r="M3" s="1338"/>
      <c r="N3" s="1338"/>
      <c r="O3" s="1338"/>
      <c r="P3" s="1339"/>
      <c r="Q3" s="389"/>
      <c r="R3" s="389"/>
    </row>
    <row r="4" spans="1:21" s="491" customFormat="1" ht="16.5" thickBot="1">
      <c r="A4" s="1340" t="s">
        <v>1293</v>
      </c>
      <c r="B4" s="1341"/>
      <c r="C4" s="1341"/>
      <c r="D4" s="1341"/>
      <c r="E4" s="498">
        <v>2022</v>
      </c>
      <c r="F4" s="498"/>
      <c r="G4" s="498"/>
      <c r="H4" s="498"/>
      <c r="I4" s="498"/>
      <c r="J4" s="498"/>
      <c r="K4" s="498"/>
      <c r="L4" s="499"/>
      <c r="M4" s="499"/>
      <c r="N4" s="499"/>
      <c r="O4" s="499"/>
      <c r="P4" s="500"/>
      <c r="Q4" s="389"/>
      <c r="R4" s="389"/>
    </row>
    <row r="5" spans="1:21" s="235" customFormat="1" ht="16.5" customHeight="1" thickBot="1">
      <c r="A5" s="1337" t="s">
        <v>655</v>
      </c>
      <c r="B5" s="1338"/>
      <c r="C5" s="1338"/>
      <c r="D5" s="1338"/>
      <c r="E5" s="1338"/>
      <c r="F5" s="1338"/>
      <c r="G5" s="1338"/>
      <c r="H5" s="1338"/>
      <c r="I5" s="1338"/>
      <c r="J5" s="1338"/>
      <c r="K5" s="1338"/>
      <c r="L5" s="1338"/>
      <c r="M5" s="1338"/>
      <c r="N5" s="1338"/>
      <c r="O5" s="1338"/>
      <c r="P5" s="1339"/>
    </row>
    <row r="6" spans="1:21">
      <c r="B6" s="2" t="s">
        <v>1</v>
      </c>
      <c r="C6" s="75"/>
      <c r="D6" s="6"/>
      <c r="E6" s="73"/>
      <c r="F6" s="6" t="s">
        <v>128</v>
      </c>
      <c r="G6" s="6"/>
      <c r="H6" s="6"/>
      <c r="I6" s="6"/>
      <c r="J6" s="6"/>
      <c r="K6" s="6"/>
    </row>
    <row r="7" spans="1:21" ht="15.75" thickBot="1">
      <c r="B7" s="28"/>
      <c r="C7" s="76"/>
      <c r="D7" s="6"/>
      <c r="E7" s="18"/>
      <c r="F7" s="6" t="s">
        <v>129</v>
      </c>
      <c r="G7" s="6"/>
      <c r="H7" s="6"/>
      <c r="I7" s="6"/>
      <c r="J7" s="6"/>
      <c r="K7" s="6"/>
    </row>
    <row r="8" spans="1:21" ht="15.75" thickBot="1">
      <c r="B8" s="170" t="s">
        <v>1181</v>
      </c>
      <c r="C8" s="213">
        <v>2022</v>
      </c>
      <c r="D8" s="218">
        <f>IF(E10="NO APLICA","NO APLICA",IF(E11="NO SE REPORTA","SIN INFORMACION",+F20))</f>
        <v>0.88888888888888884</v>
      </c>
      <c r="E8" s="214"/>
      <c r="F8" s="6" t="s">
        <v>130</v>
      </c>
      <c r="G8" s="6"/>
      <c r="H8" s="6"/>
      <c r="I8" s="6"/>
      <c r="J8" s="6"/>
      <c r="K8" s="6"/>
    </row>
    <row r="9" spans="1:21">
      <c r="B9" s="462" t="s">
        <v>1182</v>
      </c>
      <c r="D9" s="6"/>
      <c r="E9" s="6"/>
      <c r="F9" s="6"/>
      <c r="G9" s="6"/>
      <c r="H9" s="6"/>
      <c r="I9" s="6"/>
      <c r="J9" s="6"/>
      <c r="K9" s="6"/>
    </row>
    <row r="10" spans="1:21" s="389" customFormat="1">
      <c r="A10" s="235"/>
      <c r="B10" s="1392" t="s">
        <v>1236</v>
      </c>
      <c r="C10" s="1392"/>
      <c r="D10" s="1392"/>
      <c r="E10" s="468" t="s">
        <v>1233</v>
      </c>
      <c r="F10" s="1412" t="str">
        <f>'17PGIRS'!F10</f>
        <v>Acuerdo 005 del 22 de mayo de 2020 (Por medio del cual se aprueba el Plan de Accion Institucional 2020 -2023)</v>
      </c>
      <c r="G10" s="1412"/>
      <c r="H10" s="1412"/>
      <c r="I10" s="1412"/>
      <c r="J10" s="1412"/>
      <c r="K10" s="1412"/>
      <c r="L10" s="1412"/>
      <c r="M10" s="1412"/>
      <c r="N10" s="1412"/>
      <c r="O10" s="1412"/>
      <c r="P10" s="1412"/>
      <c r="Q10" s="1412"/>
      <c r="R10" s="1412"/>
      <c r="S10" s="1412"/>
      <c r="T10" s="464"/>
      <c r="U10" s="464"/>
    </row>
    <row r="11" spans="1:21" s="389" customFormat="1" ht="14.45" customHeight="1">
      <c r="A11" s="235"/>
      <c r="B11" s="465"/>
      <c r="C11" s="466"/>
      <c r="D11" s="467" t="str">
        <f>IF(E10="SI APLICA","¿El indicador no se reporta por limitaciones de información disponible? ","")</f>
        <v xml:space="preserve">¿El indicador no se reporta por limitaciones de información disponible? </v>
      </c>
      <c r="E11" s="469" t="s">
        <v>1235</v>
      </c>
      <c r="F11" s="1412"/>
      <c r="G11" s="1412"/>
      <c r="H11" s="1412"/>
      <c r="I11" s="1412"/>
      <c r="J11" s="1412"/>
      <c r="K11" s="1412"/>
      <c r="L11" s="1412"/>
      <c r="M11" s="1412"/>
      <c r="N11" s="1412"/>
      <c r="O11" s="1412"/>
      <c r="P11" s="1412"/>
      <c r="Q11" s="1412"/>
      <c r="R11" s="1412"/>
      <c r="S11" s="1412"/>
    </row>
    <row r="12" spans="1:21" s="389" customFormat="1" ht="28.5" customHeight="1">
      <c r="A12" s="235"/>
      <c r="B12" s="462"/>
      <c r="C12" s="292"/>
      <c r="D12" s="467" t="str">
        <f>IF(E11="SI SE REPORTA","¿Qué programas o proyectos del Plan de Acción están asociados al indicador? ","")</f>
        <v xml:space="preserve">¿Qué programas o proyectos del Plan de Acción están asociados al indicador? </v>
      </c>
      <c r="E12" s="1430" t="s">
        <v>2116</v>
      </c>
      <c r="F12" s="1430"/>
      <c r="G12" s="1430"/>
      <c r="H12" s="1430"/>
      <c r="I12" s="1430"/>
      <c r="J12" s="1430"/>
      <c r="K12" s="1430"/>
      <c r="L12" s="1430"/>
      <c r="M12" s="1430"/>
      <c r="N12" s="1430"/>
      <c r="O12" s="1430"/>
      <c r="P12" s="1430"/>
      <c r="Q12" s="1430"/>
      <c r="R12" s="1430"/>
    </row>
    <row r="13" spans="1:21" s="389" customFormat="1" ht="21.95" customHeight="1">
      <c r="A13" s="235"/>
      <c r="B13" s="462"/>
      <c r="C13" s="292"/>
      <c r="D13" s="467" t="s">
        <v>1238</v>
      </c>
      <c r="E13" s="1395" t="s">
        <v>2128</v>
      </c>
      <c r="F13" s="1396"/>
      <c r="G13" s="1396"/>
      <c r="H13" s="1396"/>
      <c r="I13" s="1396"/>
      <c r="J13" s="1396"/>
      <c r="K13" s="1396"/>
      <c r="L13" s="1396"/>
      <c r="M13" s="1396"/>
      <c r="N13" s="1396"/>
      <c r="O13" s="1396"/>
      <c r="P13" s="1396"/>
      <c r="Q13" s="1396"/>
      <c r="R13" s="1397"/>
    </row>
    <row r="14" spans="1:21" s="389" customFormat="1" ht="18" customHeight="1" thickBot="1">
      <c r="B14" s="462"/>
      <c r="C14" s="86"/>
      <c r="D14" s="6"/>
      <c r="E14" s="6"/>
      <c r="F14" s="6"/>
      <c r="G14" s="6"/>
      <c r="H14" s="6"/>
      <c r="I14" s="6"/>
      <c r="J14" s="6"/>
      <c r="K14" s="6"/>
    </row>
    <row r="15" spans="1:21" ht="15" customHeight="1" thickTop="1">
      <c r="B15" s="1456" t="s">
        <v>2</v>
      </c>
      <c r="C15" s="88"/>
      <c r="D15" s="1458" t="s">
        <v>336</v>
      </c>
      <c r="E15" s="1459"/>
      <c r="F15" s="1459"/>
      <c r="G15" s="1459"/>
      <c r="H15" s="1459"/>
      <c r="I15" s="1459"/>
      <c r="J15" s="1459"/>
      <c r="K15" s="1460"/>
    </row>
    <row r="16" spans="1:21" ht="15.75" thickBot="1">
      <c r="B16" s="1457"/>
      <c r="C16" s="91"/>
      <c r="D16" s="1561" t="s">
        <v>655</v>
      </c>
      <c r="E16" s="1562"/>
      <c r="F16" s="1562"/>
      <c r="G16" s="1562"/>
      <c r="H16" s="1562"/>
      <c r="I16" s="1562"/>
      <c r="J16" s="1562"/>
      <c r="K16" s="1563"/>
    </row>
    <row r="17" spans="2:12" ht="15.75" thickBot="1">
      <c r="B17" s="1457"/>
      <c r="C17" s="89" t="s">
        <v>19</v>
      </c>
      <c r="D17" s="1179" t="s">
        <v>253</v>
      </c>
      <c r="E17" s="1179" t="s">
        <v>20</v>
      </c>
      <c r="F17" s="1179" t="s">
        <v>21</v>
      </c>
      <c r="G17" s="1179" t="s">
        <v>22</v>
      </c>
      <c r="H17" s="1179" t="s">
        <v>23</v>
      </c>
      <c r="I17" s="1179" t="s">
        <v>254</v>
      </c>
      <c r="K17" s="22"/>
    </row>
    <row r="18" spans="2:12" ht="36.75" thickBot="1">
      <c r="B18" s="1457"/>
      <c r="C18" s="90" t="s">
        <v>152</v>
      </c>
      <c r="D18" s="40" t="s">
        <v>690</v>
      </c>
      <c r="E18" s="1169">
        <v>10</v>
      </c>
      <c r="F18" s="1169">
        <v>9</v>
      </c>
      <c r="G18" s="7">
        <v>3</v>
      </c>
      <c r="H18" s="7"/>
      <c r="I18" s="42">
        <f>SUM(E18:H18)</f>
        <v>22</v>
      </c>
      <c r="K18" s="22"/>
    </row>
    <row r="19" spans="2:12" ht="36.75" thickBot="1">
      <c r="B19" s="1457"/>
      <c r="C19" s="90" t="s">
        <v>154</v>
      </c>
      <c r="D19" s="40" t="s">
        <v>1174</v>
      </c>
      <c r="E19" s="1169">
        <v>10</v>
      </c>
      <c r="F19" s="1169">
        <v>8</v>
      </c>
      <c r="G19" s="7">
        <v>2</v>
      </c>
      <c r="H19" s="7"/>
      <c r="I19" s="42">
        <f>SUM(E19:H19)</f>
        <v>20</v>
      </c>
      <c r="K19" s="22"/>
    </row>
    <row r="20" spans="2:12" ht="48.75" thickBot="1">
      <c r="B20" s="1457"/>
      <c r="C20" s="90" t="s">
        <v>156</v>
      </c>
      <c r="D20" s="40" t="s">
        <v>1173</v>
      </c>
      <c r="E20" s="141">
        <f>IFERROR(E19/E18,0)</f>
        <v>1</v>
      </c>
      <c r="F20" s="141">
        <f>IFERROR(F19/F18,0)</f>
        <v>0.88888888888888884</v>
      </c>
      <c r="G20" s="141">
        <f>IFERROR(G19/G18,0)</f>
        <v>0.66666666666666663</v>
      </c>
      <c r="H20" s="141">
        <f>IFERROR(H19/H18,0)</f>
        <v>0</v>
      </c>
      <c r="I20" s="141">
        <f>IFERROR(I19/I18,0)</f>
        <v>0.90909090909090906</v>
      </c>
      <c r="K20" s="22"/>
    </row>
    <row r="21" spans="2:12">
      <c r="B21" s="409"/>
      <c r="C21" s="91"/>
      <c r="D21" s="1464"/>
      <c r="E21" s="1465"/>
      <c r="F21" s="1465"/>
      <c r="G21" s="1465"/>
      <c r="H21" s="1465"/>
      <c r="I21" s="1465"/>
      <c r="J21" s="1465"/>
      <c r="K21" s="1466"/>
    </row>
    <row r="22" spans="2:12">
      <c r="B22" s="409"/>
      <c r="C22" s="91"/>
      <c r="D22" s="1561" t="s">
        <v>2131</v>
      </c>
      <c r="E22" s="1562"/>
      <c r="F22" s="1562"/>
      <c r="G22" s="1562"/>
      <c r="H22" s="1562"/>
      <c r="I22" s="1562"/>
      <c r="J22" s="1562"/>
      <c r="K22" s="1563"/>
    </row>
    <row r="23" spans="2:12" ht="24" customHeight="1" thickBot="1">
      <c r="B23" s="409"/>
      <c r="C23" s="91"/>
      <c r="D23" s="1581" t="s">
        <v>686</v>
      </c>
      <c r="E23" s="1582"/>
      <c r="F23" s="1582"/>
      <c r="G23" s="1582"/>
      <c r="H23" s="1582"/>
      <c r="I23" s="1582"/>
      <c r="J23" s="1582"/>
      <c r="K23" s="1583"/>
    </row>
    <row r="24" spans="2:12" ht="15.75" thickBot="1">
      <c r="B24" s="409"/>
      <c r="C24" s="1460" t="s">
        <v>19</v>
      </c>
      <c r="D24" s="1569" t="s">
        <v>270</v>
      </c>
      <c r="E24" s="1569" t="s">
        <v>619</v>
      </c>
      <c r="F24" s="1504" t="s">
        <v>691</v>
      </c>
      <c r="G24" s="1586" t="s">
        <v>692</v>
      </c>
      <c r="H24" s="1587"/>
      <c r="I24" s="1587"/>
      <c r="J24" s="1588"/>
      <c r="K24" s="117"/>
    </row>
    <row r="25" spans="2:12">
      <c r="B25" s="409"/>
      <c r="C25" s="1466"/>
      <c r="D25" s="1571"/>
      <c r="E25" s="1571"/>
      <c r="F25" s="1585"/>
      <c r="G25" s="1165" t="s">
        <v>473</v>
      </c>
      <c r="H25" s="1504" t="s">
        <v>694</v>
      </c>
      <c r="I25" s="1504" t="s">
        <v>274</v>
      </c>
      <c r="J25" s="1504" t="s">
        <v>275</v>
      </c>
      <c r="K25" s="12"/>
    </row>
    <row r="26" spans="2:12" ht="15.75" thickBot="1">
      <c r="B26" s="409"/>
      <c r="C26" s="1501"/>
      <c r="D26" s="1570"/>
      <c r="E26" s="1570"/>
      <c r="F26" s="1585"/>
      <c r="G26" s="1165" t="s">
        <v>693</v>
      </c>
      <c r="H26" s="1585"/>
      <c r="I26" s="1585"/>
      <c r="J26" s="1585"/>
      <c r="K26" s="12"/>
    </row>
    <row r="27" spans="2:12" ht="60.75" thickBot="1">
      <c r="B27" s="409"/>
      <c r="C27" s="31">
        <v>1</v>
      </c>
      <c r="D27" s="1170" t="s">
        <v>1523</v>
      </c>
      <c r="E27" s="1170" t="s">
        <v>2139</v>
      </c>
      <c r="F27" s="1212" t="s">
        <v>2140</v>
      </c>
      <c r="G27" s="1213">
        <v>2059455689</v>
      </c>
      <c r="H27" s="1213">
        <v>2059455689</v>
      </c>
      <c r="I27" s="1213">
        <v>171378552</v>
      </c>
      <c r="J27" s="1214">
        <v>51378552</v>
      </c>
      <c r="K27" s="14"/>
      <c r="L27" s="217"/>
    </row>
    <row r="28" spans="2:12" ht="48.75" thickBot="1">
      <c r="B28" s="409"/>
      <c r="C28" s="31">
        <v>2</v>
      </c>
      <c r="D28" s="1170" t="s">
        <v>1560</v>
      </c>
      <c r="E28" s="1170"/>
      <c r="F28" s="1215"/>
      <c r="G28" s="1210">
        <v>250000000</v>
      </c>
      <c r="H28" s="1210">
        <v>250000000</v>
      </c>
      <c r="I28" s="1210">
        <v>231419966</v>
      </c>
      <c r="J28" s="1216">
        <v>213933066</v>
      </c>
      <c r="K28" s="14"/>
      <c r="L28" s="217"/>
    </row>
    <row r="29" spans="2:12" ht="15.75" thickBot="1">
      <c r="B29" s="409"/>
      <c r="C29" s="31">
        <v>3</v>
      </c>
      <c r="D29" s="1170"/>
      <c r="E29" s="1170"/>
      <c r="F29" s="1215"/>
      <c r="G29" s="1210"/>
      <c r="H29" s="1210"/>
      <c r="I29" s="1210"/>
      <c r="J29" s="1216"/>
      <c r="K29" s="14"/>
      <c r="L29" s="217"/>
    </row>
    <row r="30" spans="2:12" ht="15.75" hidden="1" thickBot="1">
      <c r="B30" s="409"/>
      <c r="C30" s="31">
        <v>4</v>
      </c>
      <c r="D30" s="31"/>
      <c r="E30" s="447"/>
      <c r="F30" s="1217"/>
      <c r="G30" s="1211"/>
      <c r="H30" s="1211"/>
      <c r="I30" s="1211"/>
      <c r="J30" s="1218"/>
      <c r="K30" s="14"/>
      <c r="L30" s="217"/>
    </row>
    <row r="31" spans="2:12" ht="15.75" hidden="1" thickBot="1">
      <c r="B31" s="409"/>
      <c r="C31" s="31">
        <v>5</v>
      </c>
      <c r="D31" s="31"/>
      <c r="E31" s="447"/>
      <c r="F31" s="1217"/>
      <c r="G31" s="1211"/>
      <c r="H31" s="1211"/>
      <c r="I31" s="1211"/>
      <c r="J31" s="1218"/>
      <c r="K31" s="14"/>
      <c r="L31" s="217"/>
    </row>
    <row r="32" spans="2:12" ht="15.75" hidden="1" thickBot="1">
      <c r="B32" s="409"/>
      <c r="C32" s="31">
        <v>6</v>
      </c>
      <c r="D32" s="31"/>
      <c r="E32" s="447"/>
      <c r="F32" s="1217"/>
      <c r="G32" s="1211"/>
      <c r="H32" s="1211"/>
      <c r="I32" s="1211"/>
      <c r="J32" s="1218"/>
      <c r="K32" s="14"/>
      <c r="L32" s="217"/>
    </row>
    <row r="33" spans="2:44" ht="15.75" thickBot="1">
      <c r="B33" s="409"/>
      <c r="C33" s="39"/>
      <c r="D33" s="1167" t="s">
        <v>151</v>
      </c>
      <c r="E33" s="1167"/>
      <c r="F33" s="1219"/>
      <c r="G33" s="1220">
        <f>SUM(G27:G32)</f>
        <v>2309455689</v>
      </c>
      <c r="H33" s="1220">
        <f>SUM(H27:H32)</f>
        <v>2309455689</v>
      </c>
      <c r="I33" s="1220">
        <f>SUM(I27:I32)</f>
        <v>402798518</v>
      </c>
      <c r="J33" s="1221">
        <f>SUM(J27:J32)</f>
        <v>265311618</v>
      </c>
      <c r="K33" s="11"/>
    </row>
    <row r="34" spans="2:44">
      <c r="B34" s="409"/>
      <c r="C34" s="91"/>
      <c r="D34" s="1458" t="s">
        <v>630</v>
      </c>
      <c r="E34" s="1459"/>
      <c r="F34" s="1584"/>
      <c r="G34" s="1584"/>
      <c r="H34" s="1584"/>
      <c r="I34" s="1584"/>
      <c r="J34" s="1584"/>
      <c r="K34" s="1460"/>
    </row>
    <row r="35" spans="2:44" ht="24" customHeight="1" thickBot="1">
      <c r="B35" s="409"/>
      <c r="C35" s="91"/>
      <c r="D35" s="1464" t="s">
        <v>695</v>
      </c>
      <c r="E35" s="1465"/>
      <c r="F35" s="1465"/>
      <c r="G35" s="1465"/>
      <c r="H35" s="1465"/>
      <c r="I35" s="1465"/>
      <c r="J35" s="1465"/>
      <c r="K35" s="1466"/>
    </row>
    <row r="36" spans="2:44" ht="15.75" thickBot="1">
      <c r="B36" s="409"/>
      <c r="C36" s="1589" t="s">
        <v>19</v>
      </c>
      <c r="D36" s="1564" t="s">
        <v>696</v>
      </c>
      <c r="E36" s="1567" t="s">
        <v>697</v>
      </c>
      <c r="F36" s="1568"/>
      <c r="G36" s="1177"/>
      <c r="H36" s="6"/>
      <c r="I36" s="6"/>
      <c r="K36" s="22"/>
    </row>
    <row r="37" spans="2:44">
      <c r="B37" s="409"/>
      <c r="C37" s="1463"/>
      <c r="D37" s="1565"/>
      <c r="E37" s="1569" t="s">
        <v>698</v>
      </c>
      <c r="F37" s="1178" t="s">
        <v>699</v>
      </c>
      <c r="G37" s="1569" t="s">
        <v>55</v>
      </c>
      <c r="H37" s="6"/>
      <c r="I37" s="6"/>
      <c r="K37" s="22"/>
    </row>
    <row r="38" spans="2:44" ht="15.75" thickBot="1">
      <c r="B38" s="409"/>
      <c r="C38" s="1469"/>
      <c r="D38" s="1566"/>
      <c r="E38" s="1570"/>
      <c r="F38" s="1168" t="s">
        <v>694</v>
      </c>
      <c r="G38" s="1570"/>
      <c r="H38" s="6"/>
      <c r="I38" s="6"/>
      <c r="K38" s="22"/>
    </row>
    <row r="39" spans="2:44" ht="15.75" thickBot="1">
      <c r="B39" s="409"/>
      <c r="C39" s="449">
        <v>1</v>
      </c>
      <c r="D39" s="160">
        <v>0.35</v>
      </c>
      <c r="E39" s="144">
        <f>IFERROR(I27/H27,0)</f>
        <v>8.3215459752482207E-2</v>
      </c>
      <c r="F39" s="144">
        <f>IFERROR(J27/I27,0)</f>
        <v>0.29979569438770842</v>
      </c>
      <c r="G39" s="447"/>
      <c r="H39" s="6"/>
      <c r="I39" s="6"/>
      <c r="K39" s="22"/>
    </row>
    <row r="40" spans="2:44" ht="15.75" thickBot="1">
      <c r="B40" s="409"/>
      <c r="C40" s="449">
        <v>2</v>
      </c>
      <c r="D40" s="160">
        <v>0.35</v>
      </c>
      <c r="E40" s="144">
        <f>IFERROR(I28/H28,0)</f>
        <v>0.92567986400000002</v>
      </c>
      <c r="F40" s="144">
        <f t="shared" ref="F40:F45" si="0">IFERROR(J28/I28,0)</f>
        <v>0.9244365112386197</v>
      </c>
      <c r="G40" s="447"/>
      <c r="H40" s="6"/>
      <c r="I40" s="6"/>
      <c r="K40" s="22"/>
    </row>
    <row r="41" spans="2:44" ht="15.75" thickBot="1">
      <c r="B41" s="409"/>
      <c r="C41" s="449">
        <v>3</v>
      </c>
      <c r="D41" s="160">
        <v>0.3</v>
      </c>
      <c r="E41" s="144">
        <f>IFERROR(I29/H29,0)</f>
        <v>0</v>
      </c>
      <c r="F41" s="144">
        <f t="shared" si="0"/>
        <v>0</v>
      </c>
      <c r="G41" s="447"/>
      <c r="H41" s="6"/>
      <c r="I41" s="6"/>
      <c r="K41" s="22"/>
    </row>
    <row r="42" spans="2:44" ht="15.75" thickBot="1">
      <c r="B42" s="409"/>
      <c r="C42" s="449">
        <v>4</v>
      </c>
      <c r="D42" s="160"/>
      <c r="E42" s="144">
        <f>IFERROR(I30/H30,0)</f>
        <v>0</v>
      </c>
      <c r="F42" s="144">
        <f t="shared" si="0"/>
        <v>0</v>
      </c>
      <c r="G42" s="447"/>
      <c r="H42" s="6"/>
      <c r="I42" s="6"/>
      <c r="K42" s="22"/>
    </row>
    <row r="43" spans="2:44" ht="15.75" thickBot="1">
      <c r="B43" s="409"/>
      <c r="C43" s="449">
        <v>5</v>
      </c>
      <c r="D43" s="160"/>
      <c r="E43" s="144">
        <f>IFERROR(I31/H31,0)</f>
        <v>0</v>
      </c>
      <c r="F43" s="144">
        <f t="shared" si="0"/>
        <v>0</v>
      </c>
      <c r="G43" s="447"/>
      <c r="H43" s="6"/>
      <c r="I43" s="6"/>
      <c r="K43" s="22"/>
    </row>
    <row r="44" spans="2:44" ht="15.75" thickBot="1">
      <c r="B44" s="409"/>
      <c r="C44" s="449">
        <v>6</v>
      </c>
      <c r="D44" s="160"/>
      <c r="E44" s="144">
        <f>IFERROR(I32/H32,0)</f>
        <v>0</v>
      </c>
      <c r="F44" s="144">
        <f t="shared" si="0"/>
        <v>0</v>
      </c>
      <c r="G44" s="447"/>
      <c r="H44" s="6"/>
      <c r="I44" s="6"/>
      <c r="K44" s="22"/>
    </row>
    <row r="45" spans="2:44" ht="15.75" thickBot="1">
      <c r="B45" s="410"/>
      <c r="C45" s="68"/>
      <c r="D45" s="161">
        <f>Formulas!$D$22</f>
        <v>1</v>
      </c>
      <c r="E45" s="145">
        <f>+$D39*E39+$D40*E40+$D41*E41+$D42*E42+$D43*E43+$D44*E44</f>
        <v>0.35311336331336879</v>
      </c>
      <c r="F45" s="144">
        <f t="shared" si="0"/>
        <v>0.65867078984635197</v>
      </c>
      <c r="G45" s="40"/>
      <c r="H45" s="23"/>
      <c r="I45" s="23"/>
      <c r="J45" s="23"/>
      <c r="K45" s="24"/>
    </row>
    <row r="46" spans="2:44" ht="15.75" thickBot="1">
      <c r="B46" s="37"/>
      <c r="C46" s="87"/>
      <c r="D46" s="6"/>
      <c r="E46" s="6"/>
      <c r="F46" s="6"/>
      <c r="G46" s="6"/>
      <c r="H46" s="6"/>
      <c r="I46" s="6"/>
      <c r="J46" s="6"/>
      <c r="K46" s="6"/>
    </row>
    <row r="47" spans="2:44" ht="84.75" thickBot="1">
      <c r="B47" s="52" t="s">
        <v>34</v>
      </c>
      <c r="C47" s="97"/>
      <c r="D47" s="43" t="s">
        <v>700</v>
      </c>
      <c r="E47" s="6"/>
      <c r="F47" s="6"/>
      <c r="G47" s="6"/>
      <c r="H47" s="6"/>
      <c r="I47" s="6"/>
      <c r="J47" s="6"/>
      <c r="K47" s="6"/>
      <c r="AR47" t="s">
        <v>1467</v>
      </c>
    </row>
    <row r="48" spans="2:44" ht="60.75" thickBot="1">
      <c r="B48" s="47" t="s">
        <v>36</v>
      </c>
      <c r="C48" s="3"/>
      <c r="D48" s="40" t="s">
        <v>346</v>
      </c>
      <c r="E48" s="6"/>
      <c r="F48" s="6"/>
      <c r="G48" s="6"/>
      <c r="H48" s="6"/>
      <c r="I48" s="6"/>
      <c r="J48" s="6"/>
      <c r="K48" s="6"/>
    </row>
    <row r="49" spans="2:11" ht="15.75" thickBot="1">
      <c r="B49" s="2"/>
      <c r="C49" s="75"/>
      <c r="D49" s="6"/>
      <c r="E49" s="6"/>
      <c r="F49" s="6"/>
      <c r="G49" s="6"/>
      <c r="H49" s="6"/>
      <c r="I49" s="6"/>
      <c r="J49" s="6"/>
      <c r="K49" s="6"/>
    </row>
    <row r="50" spans="2:11" ht="24" customHeight="1" thickBot="1">
      <c r="B50" s="1450" t="s">
        <v>38</v>
      </c>
      <c r="C50" s="1451"/>
      <c r="D50" s="1451"/>
      <c r="E50" s="1452"/>
      <c r="F50" s="6"/>
      <c r="G50" s="6"/>
      <c r="H50" s="6"/>
      <c r="I50" s="6"/>
      <c r="J50" s="6"/>
      <c r="K50" s="6"/>
    </row>
    <row r="51" spans="2:11" ht="36.75" thickBot="1">
      <c r="B51" s="1447">
        <v>1</v>
      </c>
      <c r="C51" s="93"/>
      <c r="D51" s="48" t="s">
        <v>39</v>
      </c>
      <c r="E51" s="44" t="s">
        <v>1399</v>
      </c>
      <c r="F51" s="6"/>
      <c r="G51" s="6"/>
      <c r="H51" s="6"/>
      <c r="I51" s="6"/>
      <c r="J51" s="6"/>
      <c r="K51" s="6"/>
    </row>
    <row r="52" spans="2:11" ht="24.75" thickBot="1">
      <c r="B52" s="1448"/>
      <c r="C52" s="93"/>
      <c r="D52" s="40" t="s">
        <v>40</v>
      </c>
      <c r="E52" s="44" t="s">
        <v>1400</v>
      </c>
      <c r="F52" s="6"/>
      <c r="G52" s="6"/>
      <c r="H52" s="6"/>
      <c r="I52" s="6"/>
      <c r="J52" s="6"/>
      <c r="K52" s="6"/>
    </row>
    <row r="53" spans="2:11" ht="15.75" thickBot="1">
      <c r="B53" s="1448"/>
      <c r="C53" s="93"/>
      <c r="D53" s="40" t="s">
        <v>41</v>
      </c>
      <c r="E53" s="44" t="s">
        <v>1476</v>
      </c>
      <c r="F53" s="6"/>
      <c r="G53" s="6"/>
      <c r="H53" s="6"/>
      <c r="I53" s="6"/>
      <c r="J53" s="6"/>
      <c r="K53" s="6"/>
    </row>
    <row r="54" spans="2:11" ht="15.75" thickBot="1">
      <c r="B54" s="1448"/>
      <c r="C54" s="93"/>
      <c r="D54" s="40" t="s">
        <v>42</v>
      </c>
      <c r="E54" s="44" t="s">
        <v>1390</v>
      </c>
      <c r="F54" s="6"/>
      <c r="G54" s="6"/>
      <c r="H54" s="6"/>
      <c r="I54" s="6"/>
      <c r="J54" s="6"/>
      <c r="K54" s="6"/>
    </row>
    <row r="55" spans="2:11" ht="24.75" thickBot="1">
      <c r="B55" s="1448"/>
      <c r="C55" s="93"/>
      <c r="D55" s="40" t="s">
        <v>43</v>
      </c>
      <c r="E55" s="44" t="s">
        <v>1391</v>
      </c>
      <c r="F55" s="6"/>
      <c r="G55" s="6"/>
      <c r="H55" s="6"/>
      <c r="I55" s="6"/>
      <c r="J55" s="6"/>
      <c r="K55" s="6"/>
    </row>
    <row r="56" spans="2:11" ht="15.75" thickBot="1">
      <c r="B56" s="1448"/>
      <c r="C56" s="93"/>
      <c r="D56" s="40" t="s">
        <v>44</v>
      </c>
      <c r="E56" s="44">
        <v>5748960</v>
      </c>
      <c r="F56" s="6"/>
      <c r="G56" s="6"/>
      <c r="H56" s="6"/>
      <c r="I56" s="6"/>
      <c r="J56" s="6"/>
      <c r="K56" s="6"/>
    </row>
    <row r="57" spans="2:11" ht="36.75" thickBot="1">
      <c r="B57" s="1449"/>
      <c r="C57" s="3"/>
      <c r="D57" s="40" t="s">
        <v>45</v>
      </c>
      <c r="E57" s="44" t="s">
        <v>1407</v>
      </c>
      <c r="F57" s="6"/>
      <c r="G57" s="6"/>
      <c r="H57" s="6"/>
      <c r="I57" s="6"/>
      <c r="J57" s="6"/>
      <c r="K57" s="6"/>
    </row>
    <row r="58" spans="2:11">
      <c r="B58" s="2"/>
      <c r="C58" s="75"/>
      <c r="D58" s="6"/>
      <c r="E58" s="6"/>
      <c r="F58" s="6"/>
      <c r="G58" s="6"/>
      <c r="H58" s="6"/>
      <c r="I58" s="6"/>
      <c r="J58" s="6"/>
      <c r="K58" s="6"/>
    </row>
    <row r="59" spans="2:11">
      <c r="B59" s="1572" t="s">
        <v>46</v>
      </c>
      <c r="C59" s="1572"/>
      <c r="D59" s="1572"/>
      <c r="E59" s="1572"/>
      <c r="F59" s="6"/>
      <c r="G59" s="6"/>
      <c r="H59" s="6"/>
      <c r="I59" s="6"/>
      <c r="J59" s="6"/>
      <c r="K59" s="6"/>
    </row>
    <row r="60" spans="2:11" ht="24">
      <c r="B60" s="1573">
        <v>1</v>
      </c>
      <c r="C60" s="1174"/>
      <c r="D60" s="1175" t="s">
        <v>39</v>
      </c>
      <c r="E60" s="1171" t="s">
        <v>47</v>
      </c>
      <c r="F60" s="6"/>
      <c r="G60" s="6"/>
      <c r="H60" s="6"/>
      <c r="I60" s="6"/>
      <c r="J60" s="6"/>
      <c r="K60" s="6"/>
    </row>
    <row r="61" spans="2:11" ht="36">
      <c r="B61" s="1573"/>
      <c r="C61" s="1174"/>
      <c r="D61" s="1171" t="s">
        <v>40</v>
      </c>
      <c r="E61" s="1171" t="s">
        <v>48</v>
      </c>
      <c r="F61" s="6"/>
      <c r="G61" s="6"/>
      <c r="H61" s="6"/>
      <c r="I61" s="6"/>
      <c r="J61" s="6"/>
      <c r="K61" s="6"/>
    </row>
    <row r="62" spans="2:11">
      <c r="B62" s="1573"/>
      <c r="C62" s="1174"/>
      <c r="D62" s="1171" t="s">
        <v>41</v>
      </c>
      <c r="E62" s="1176"/>
      <c r="F62" s="6"/>
      <c r="G62" s="6"/>
      <c r="H62" s="6"/>
      <c r="I62" s="6"/>
      <c r="J62" s="6"/>
      <c r="K62" s="6"/>
    </row>
    <row r="63" spans="2:11">
      <c r="B63" s="1573"/>
      <c r="C63" s="1174"/>
      <c r="D63" s="1171" t="s">
        <v>42</v>
      </c>
      <c r="E63" s="1176"/>
      <c r="F63" s="6"/>
      <c r="G63" s="6"/>
      <c r="H63" s="6"/>
      <c r="I63" s="6"/>
      <c r="J63" s="6"/>
      <c r="K63" s="6"/>
    </row>
    <row r="64" spans="2:11">
      <c r="B64" s="1573"/>
      <c r="C64" s="1174"/>
      <c r="D64" s="1171" t="s">
        <v>43</v>
      </c>
      <c r="E64" s="1176"/>
      <c r="F64" s="6"/>
      <c r="G64" s="6"/>
      <c r="H64" s="6"/>
      <c r="I64" s="6"/>
      <c r="J64" s="6"/>
      <c r="K64" s="6"/>
    </row>
    <row r="65" spans="2:11">
      <c r="B65" s="1573"/>
      <c r="C65" s="1174"/>
      <c r="D65" s="1171" t="s">
        <v>44</v>
      </c>
      <c r="E65" s="1176"/>
      <c r="F65" s="6"/>
      <c r="G65" s="6"/>
      <c r="H65" s="6"/>
      <c r="I65" s="6"/>
      <c r="J65" s="6"/>
      <c r="K65" s="6"/>
    </row>
    <row r="66" spans="2:11">
      <c r="B66" s="1573"/>
      <c r="C66" s="1174"/>
      <c r="D66" s="1171" t="s">
        <v>45</v>
      </c>
      <c r="E66" s="1176"/>
      <c r="F66" s="6"/>
      <c r="G66" s="6"/>
      <c r="H66" s="6"/>
      <c r="I66" s="6"/>
      <c r="J66" s="6"/>
      <c r="K66" s="6"/>
    </row>
    <row r="67" spans="2:11">
      <c r="B67" s="2"/>
      <c r="C67" s="75"/>
      <c r="D67" s="6"/>
      <c r="E67" s="6"/>
      <c r="F67" s="6"/>
      <c r="G67" s="6"/>
      <c r="H67" s="6"/>
      <c r="I67" s="6"/>
      <c r="J67" s="6"/>
      <c r="K67" s="6"/>
    </row>
    <row r="68" spans="2:11">
      <c r="B68" s="1580" t="s">
        <v>49</v>
      </c>
      <c r="C68" s="1580"/>
      <c r="D68" s="1580"/>
      <c r="E68" s="1580"/>
      <c r="F68" s="1580"/>
      <c r="G68" s="6"/>
      <c r="H68" s="6"/>
      <c r="I68" s="6"/>
      <c r="J68" s="6"/>
      <c r="K68" s="6"/>
    </row>
    <row r="69" spans="2:11" ht="24">
      <c r="B69" s="1171" t="s">
        <v>50</v>
      </c>
      <c r="C69" s="1171" t="s">
        <v>51</v>
      </c>
      <c r="D69" s="1171" t="s">
        <v>52</v>
      </c>
      <c r="E69" s="1171" t="s">
        <v>53</v>
      </c>
      <c r="F69" s="6"/>
      <c r="G69" s="6"/>
      <c r="H69" s="6"/>
      <c r="I69" s="6"/>
      <c r="J69" s="6"/>
    </row>
    <row r="70" spans="2:11" ht="84">
      <c r="B70" s="1172">
        <v>42401</v>
      </c>
      <c r="C70" s="1171">
        <v>0.01</v>
      </c>
      <c r="D70" s="1173" t="s">
        <v>701</v>
      </c>
      <c r="E70" s="1171"/>
      <c r="F70" s="6"/>
      <c r="G70" s="6"/>
      <c r="H70" s="6"/>
      <c r="I70" s="6"/>
      <c r="J70" s="6"/>
    </row>
    <row r="71" spans="2:11" ht="15.75" thickBot="1">
      <c r="B71" s="4"/>
      <c r="C71" s="94"/>
      <c r="D71" s="6"/>
      <c r="E71" s="6"/>
      <c r="F71" s="6"/>
      <c r="G71" s="6"/>
      <c r="H71" s="6"/>
      <c r="I71" s="6"/>
      <c r="J71" s="6"/>
      <c r="K71" s="6"/>
    </row>
    <row r="72" spans="2:11">
      <c r="B72" s="134" t="s">
        <v>55</v>
      </c>
      <c r="C72" s="95"/>
      <c r="D72" s="6"/>
      <c r="E72" s="6"/>
      <c r="F72" s="6"/>
      <c r="G72" s="6"/>
      <c r="H72" s="6"/>
      <c r="I72" s="6"/>
      <c r="J72" s="6"/>
      <c r="K72" s="6"/>
    </row>
    <row r="73" spans="2:11">
      <c r="B73" s="1574"/>
      <c r="C73" s="1575"/>
      <c r="D73" s="1575"/>
      <c r="E73" s="1575"/>
      <c r="F73" s="1576"/>
      <c r="G73" s="6"/>
      <c r="H73" s="6"/>
      <c r="I73" s="6"/>
      <c r="J73" s="6"/>
      <c r="K73" s="6"/>
    </row>
    <row r="74" spans="2:11">
      <c r="B74" s="1577"/>
      <c r="C74" s="1578"/>
      <c r="D74" s="1578"/>
      <c r="E74" s="1578"/>
      <c r="F74" s="1579"/>
      <c r="G74" s="6"/>
      <c r="H74" s="6"/>
      <c r="I74" s="6"/>
      <c r="J74" s="6"/>
      <c r="K74" s="6"/>
    </row>
    <row r="75" spans="2:11">
      <c r="B75" s="2"/>
      <c r="C75" s="75"/>
      <c r="D75" s="6"/>
      <c r="E75" s="6"/>
      <c r="F75" s="6"/>
      <c r="G75" s="6"/>
      <c r="H75" s="6"/>
      <c r="I75" s="6"/>
      <c r="J75" s="6"/>
      <c r="K75" s="6"/>
    </row>
    <row r="76" spans="2:11" ht="15.75" thickBot="1">
      <c r="B76" s="6"/>
      <c r="D76" s="6"/>
      <c r="E76" s="6"/>
      <c r="F76" s="6"/>
      <c r="G76" s="6"/>
      <c r="H76" s="6"/>
      <c r="I76" s="6"/>
      <c r="J76" s="6"/>
      <c r="K76" s="6"/>
    </row>
    <row r="77" spans="2:11" ht="24.75" thickBot="1">
      <c r="B77" s="51" t="s">
        <v>56</v>
      </c>
      <c r="C77" s="96"/>
      <c r="D77" s="6"/>
      <c r="E77" s="6"/>
      <c r="F77" s="6"/>
      <c r="G77" s="6"/>
      <c r="H77" s="6"/>
      <c r="I77" s="6"/>
      <c r="J77" s="6"/>
      <c r="K77" s="6"/>
    </row>
    <row r="78" spans="2:11" ht="15.75" thickBot="1">
      <c r="B78" s="37"/>
      <c r="C78" s="87"/>
      <c r="D78" s="6"/>
      <c r="E78" s="6"/>
      <c r="F78" s="6"/>
      <c r="G78" s="6"/>
      <c r="H78" s="6"/>
      <c r="I78" s="6"/>
      <c r="J78" s="6"/>
      <c r="K78" s="6"/>
    </row>
    <row r="79" spans="2:11" ht="84.75" thickBot="1">
      <c r="B79" s="52" t="s">
        <v>57</v>
      </c>
      <c r="C79" s="97"/>
      <c r="D79" s="43" t="s">
        <v>656</v>
      </c>
      <c r="E79" s="6"/>
      <c r="F79" s="6"/>
      <c r="G79" s="6"/>
      <c r="H79" s="6"/>
      <c r="I79" s="6"/>
      <c r="J79" s="6"/>
      <c r="K79" s="6"/>
    </row>
    <row r="80" spans="2:11">
      <c r="B80" s="1447" t="s">
        <v>59</v>
      </c>
      <c r="C80" s="93"/>
      <c r="D80" s="53" t="s">
        <v>60</v>
      </c>
      <c r="E80" s="6"/>
      <c r="F80" s="6"/>
      <c r="G80" s="6"/>
      <c r="H80" s="6"/>
      <c r="I80" s="6"/>
      <c r="J80" s="6"/>
      <c r="K80" s="6"/>
    </row>
    <row r="81" spans="2:11" ht="120">
      <c r="B81" s="1448"/>
      <c r="C81" s="93"/>
      <c r="D81" s="46" t="s">
        <v>657</v>
      </c>
      <c r="E81" s="6"/>
      <c r="F81" s="6"/>
      <c r="G81" s="6"/>
      <c r="H81" s="6"/>
      <c r="I81" s="6"/>
      <c r="J81" s="6"/>
      <c r="K81" s="6"/>
    </row>
    <row r="82" spans="2:11">
      <c r="B82" s="1448"/>
      <c r="C82" s="93"/>
      <c r="D82" s="53" t="s">
        <v>63</v>
      </c>
      <c r="E82" s="6"/>
      <c r="F82" s="6"/>
      <c r="G82" s="6"/>
      <c r="H82" s="6"/>
      <c r="I82" s="6"/>
      <c r="J82" s="6"/>
      <c r="K82" s="6"/>
    </row>
    <row r="83" spans="2:11">
      <c r="B83" s="1448"/>
      <c r="C83" s="93"/>
      <c r="D83" s="46" t="s">
        <v>658</v>
      </c>
      <c r="E83" s="6"/>
      <c r="F83" s="6"/>
      <c r="G83" s="6"/>
      <c r="H83" s="6"/>
      <c r="I83" s="6"/>
      <c r="J83" s="6"/>
      <c r="K83" s="6"/>
    </row>
    <row r="84" spans="2:11" ht="24">
      <c r="B84" s="1448"/>
      <c r="C84" s="93"/>
      <c r="D84" s="46" t="s">
        <v>659</v>
      </c>
      <c r="E84" s="6"/>
      <c r="F84" s="6"/>
      <c r="G84" s="6"/>
      <c r="H84" s="6"/>
      <c r="I84" s="6"/>
      <c r="J84" s="6"/>
      <c r="K84" s="6"/>
    </row>
    <row r="85" spans="2:11">
      <c r="B85" s="1448"/>
      <c r="C85" s="93"/>
      <c r="D85" s="53" t="s">
        <v>288</v>
      </c>
      <c r="E85" s="6"/>
      <c r="F85" s="6"/>
      <c r="G85" s="6"/>
      <c r="H85" s="6"/>
      <c r="I85" s="6"/>
      <c r="J85" s="6"/>
      <c r="K85" s="6"/>
    </row>
    <row r="86" spans="2:11" ht="24">
      <c r="B86" s="1448"/>
      <c r="C86" s="93"/>
      <c r="D86" s="46" t="s">
        <v>660</v>
      </c>
      <c r="E86" s="6"/>
      <c r="F86" s="6"/>
      <c r="G86" s="6"/>
      <c r="H86" s="6"/>
      <c r="I86" s="6"/>
      <c r="J86" s="6"/>
      <c r="K86" s="6"/>
    </row>
    <row r="87" spans="2:11" ht="24.75" thickBot="1">
      <c r="B87" s="1449"/>
      <c r="C87" s="3"/>
      <c r="D87" s="40" t="s">
        <v>661</v>
      </c>
      <c r="E87" s="6"/>
      <c r="F87" s="6"/>
      <c r="G87" s="6"/>
      <c r="H87" s="6"/>
      <c r="I87" s="6"/>
      <c r="J87" s="6"/>
      <c r="K87" s="6"/>
    </row>
    <row r="88" spans="2:11" ht="24.75" thickBot="1">
      <c r="B88" s="47" t="s">
        <v>72</v>
      </c>
      <c r="C88" s="3"/>
      <c r="D88" s="40"/>
      <c r="E88" s="6"/>
      <c r="F88" s="6"/>
      <c r="G88" s="6"/>
      <c r="H88" s="6"/>
      <c r="I88" s="6"/>
      <c r="J88" s="6"/>
      <c r="K88" s="6"/>
    </row>
    <row r="89" spans="2:11" ht="108">
      <c r="B89" s="1447" t="s">
        <v>73</v>
      </c>
      <c r="C89" s="93"/>
      <c r="D89" s="46" t="s">
        <v>662</v>
      </c>
      <c r="E89" s="6"/>
      <c r="F89" s="6"/>
      <c r="G89" s="6"/>
      <c r="H89" s="6"/>
      <c r="I89" s="6"/>
      <c r="J89" s="6"/>
      <c r="K89" s="6"/>
    </row>
    <row r="90" spans="2:11">
      <c r="B90" s="1448"/>
      <c r="C90" s="93"/>
      <c r="D90" s="46" t="s">
        <v>663</v>
      </c>
      <c r="E90" s="6"/>
      <c r="F90" s="6"/>
      <c r="G90" s="6"/>
      <c r="H90" s="6"/>
      <c r="I90" s="6"/>
      <c r="J90" s="6"/>
      <c r="K90" s="6"/>
    </row>
    <row r="91" spans="2:11" ht="108">
      <c r="B91" s="1448"/>
      <c r="C91" s="93"/>
      <c r="D91" s="46" t="s">
        <v>664</v>
      </c>
      <c r="E91" s="6"/>
      <c r="F91" s="6"/>
      <c r="G91" s="6"/>
      <c r="H91" s="6"/>
      <c r="I91" s="6"/>
      <c r="J91" s="6"/>
      <c r="K91" s="6"/>
    </row>
    <row r="92" spans="2:11" ht="108">
      <c r="B92" s="1448"/>
      <c r="C92" s="93"/>
      <c r="D92" s="46" t="s">
        <v>665</v>
      </c>
      <c r="E92" s="6"/>
      <c r="F92" s="6"/>
      <c r="G92" s="6"/>
      <c r="H92" s="6"/>
      <c r="I92" s="6"/>
      <c r="J92" s="6"/>
      <c r="K92" s="6"/>
    </row>
    <row r="93" spans="2:11" ht="108">
      <c r="B93" s="1448"/>
      <c r="C93" s="93"/>
      <c r="D93" s="46" t="s">
        <v>666</v>
      </c>
      <c r="E93" s="6"/>
      <c r="F93" s="6"/>
      <c r="G93" s="6"/>
      <c r="H93" s="6"/>
      <c r="I93" s="6"/>
      <c r="J93" s="6"/>
      <c r="K93" s="6"/>
    </row>
    <row r="94" spans="2:11" ht="84">
      <c r="B94" s="1448"/>
      <c r="C94" s="93"/>
      <c r="D94" s="46" t="s">
        <v>667</v>
      </c>
      <c r="E94" s="6"/>
      <c r="F94" s="6"/>
      <c r="G94" s="6"/>
      <c r="H94" s="6"/>
      <c r="I94" s="6"/>
      <c r="J94" s="6"/>
      <c r="K94" s="6"/>
    </row>
    <row r="95" spans="2:11" ht="84">
      <c r="B95" s="1448"/>
      <c r="C95" s="93"/>
      <c r="D95" s="46" t="s">
        <v>668</v>
      </c>
      <c r="E95" s="6"/>
      <c r="F95" s="6"/>
      <c r="G95" s="6"/>
      <c r="H95" s="6"/>
      <c r="I95" s="6"/>
      <c r="J95" s="6"/>
      <c r="K95" s="6"/>
    </row>
    <row r="96" spans="2:11" ht="216">
      <c r="B96" s="1448"/>
      <c r="C96" s="93"/>
      <c r="D96" s="46" t="s">
        <v>669</v>
      </c>
      <c r="E96" s="6"/>
      <c r="F96" s="6"/>
      <c r="G96" s="6"/>
      <c r="H96" s="6"/>
      <c r="I96" s="6"/>
      <c r="J96" s="6"/>
      <c r="K96" s="6"/>
    </row>
    <row r="97" spans="2:11" ht="168">
      <c r="B97" s="1448"/>
      <c r="C97" s="93"/>
      <c r="D97" s="46" t="s">
        <v>670</v>
      </c>
      <c r="E97" s="6"/>
      <c r="F97" s="6"/>
      <c r="G97" s="6"/>
      <c r="H97" s="6"/>
      <c r="I97" s="6"/>
      <c r="J97" s="6"/>
      <c r="K97" s="6"/>
    </row>
    <row r="98" spans="2:11" ht="24">
      <c r="B98" s="1448"/>
      <c r="C98" s="93"/>
      <c r="D98" s="46" t="s">
        <v>671</v>
      </c>
      <c r="E98" s="6"/>
      <c r="F98" s="6"/>
      <c r="G98" s="6"/>
      <c r="H98" s="6"/>
      <c r="I98" s="6"/>
      <c r="J98" s="6"/>
      <c r="K98" s="6"/>
    </row>
    <row r="99" spans="2:11" ht="24">
      <c r="B99" s="1448"/>
      <c r="C99" s="93"/>
      <c r="D99" s="26" t="s">
        <v>672</v>
      </c>
      <c r="E99" s="6"/>
      <c r="F99" s="6"/>
      <c r="G99" s="6"/>
      <c r="H99" s="6"/>
      <c r="I99" s="6"/>
      <c r="J99" s="6"/>
      <c r="K99" s="6"/>
    </row>
    <row r="100" spans="2:11" ht="36">
      <c r="B100" s="1448"/>
      <c r="C100" s="93"/>
      <c r="D100" s="26" t="s">
        <v>673</v>
      </c>
      <c r="E100" s="6"/>
      <c r="F100" s="6"/>
      <c r="G100" s="6"/>
      <c r="H100" s="6"/>
      <c r="I100" s="6"/>
      <c r="J100" s="6"/>
      <c r="K100" s="6"/>
    </row>
    <row r="101" spans="2:11" ht="48">
      <c r="B101" s="1448"/>
      <c r="C101" s="93"/>
      <c r="D101" s="26" t="s">
        <v>674</v>
      </c>
      <c r="E101" s="6"/>
      <c r="F101" s="6"/>
      <c r="G101" s="6"/>
      <c r="H101" s="6"/>
      <c r="I101" s="6"/>
      <c r="J101" s="6"/>
      <c r="K101" s="6"/>
    </row>
    <row r="102" spans="2:11" ht="144">
      <c r="B102" s="1448"/>
      <c r="C102" s="93"/>
      <c r="D102" s="46" t="s">
        <v>675</v>
      </c>
      <c r="E102" s="6"/>
      <c r="F102" s="6"/>
      <c r="G102" s="6"/>
      <c r="H102" s="6"/>
      <c r="I102" s="6"/>
      <c r="J102" s="6"/>
      <c r="K102" s="6"/>
    </row>
    <row r="103" spans="2:11" ht="60">
      <c r="B103" s="1448"/>
      <c r="C103" s="93"/>
      <c r="D103" s="46" t="s">
        <v>676</v>
      </c>
      <c r="E103" s="6"/>
      <c r="F103" s="6"/>
      <c r="G103" s="6"/>
      <c r="H103" s="6"/>
      <c r="I103" s="6"/>
      <c r="J103" s="6"/>
      <c r="K103" s="6"/>
    </row>
    <row r="104" spans="2:11" ht="36">
      <c r="B104" s="1448"/>
      <c r="C104" s="93"/>
      <c r="D104" s="46" t="s">
        <v>677</v>
      </c>
      <c r="E104" s="6"/>
      <c r="F104" s="6"/>
      <c r="G104" s="6"/>
      <c r="H104" s="6"/>
      <c r="I104" s="6"/>
      <c r="J104" s="6"/>
      <c r="K104" s="6"/>
    </row>
    <row r="105" spans="2:11" ht="60">
      <c r="B105" s="1448"/>
      <c r="C105" s="93"/>
      <c r="D105" s="61" t="s">
        <v>678</v>
      </c>
      <c r="E105" s="6"/>
      <c r="F105" s="6"/>
      <c r="G105" s="6"/>
      <c r="H105" s="6"/>
      <c r="I105" s="6"/>
      <c r="J105" s="6"/>
      <c r="K105" s="6"/>
    </row>
    <row r="106" spans="2:11" ht="24">
      <c r="B106" s="1448"/>
      <c r="C106" s="93"/>
      <c r="D106" s="61" t="s">
        <v>679</v>
      </c>
      <c r="E106" s="6"/>
      <c r="F106" s="6"/>
      <c r="G106" s="6"/>
      <c r="H106" s="6"/>
      <c r="I106" s="6"/>
      <c r="J106" s="6"/>
      <c r="K106" s="6"/>
    </row>
    <row r="107" spans="2:11" ht="24">
      <c r="B107" s="1448"/>
      <c r="C107" s="93"/>
      <c r="D107" s="61" t="s">
        <v>680</v>
      </c>
      <c r="E107" s="6"/>
      <c r="F107" s="6"/>
      <c r="G107" s="6"/>
      <c r="H107" s="6"/>
      <c r="I107" s="6"/>
      <c r="J107" s="6"/>
      <c r="K107" s="6"/>
    </row>
    <row r="108" spans="2:11" ht="36.75" thickBot="1">
      <c r="B108" s="1449"/>
      <c r="C108" s="3"/>
      <c r="D108" s="62" t="s">
        <v>681</v>
      </c>
      <c r="E108" s="6"/>
      <c r="F108" s="6"/>
      <c r="G108" s="6"/>
      <c r="H108" s="6"/>
      <c r="I108" s="6"/>
      <c r="J108" s="6"/>
      <c r="K108" s="6"/>
    </row>
    <row r="109" spans="2:11" ht="36">
      <c r="B109" s="1447" t="s">
        <v>90</v>
      </c>
      <c r="C109" s="93"/>
      <c r="D109" s="53" t="s">
        <v>682</v>
      </c>
      <c r="E109" s="6"/>
      <c r="F109" s="6"/>
      <c r="G109" s="6"/>
      <c r="H109" s="6"/>
      <c r="I109" s="6"/>
      <c r="J109" s="6"/>
      <c r="K109" s="6"/>
    </row>
    <row r="110" spans="2:11">
      <c r="B110" s="1448"/>
      <c r="C110" s="93"/>
      <c r="D110" s="17"/>
      <c r="E110" s="6"/>
      <c r="F110" s="6"/>
      <c r="G110" s="6"/>
      <c r="H110" s="6"/>
      <c r="I110" s="6"/>
      <c r="J110" s="6"/>
      <c r="K110" s="6"/>
    </row>
    <row r="111" spans="2:11">
      <c r="B111" s="1448"/>
      <c r="C111" s="93"/>
      <c r="D111" s="46" t="s">
        <v>91</v>
      </c>
      <c r="E111" s="6"/>
      <c r="F111" s="6"/>
      <c r="G111" s="6"/>
      <c r="H111" s="6"/>
      <c r="I111" s="6"/>
      <c r="J111" s="6"/>
      <c r="K111" s="6"/>
    </row>
    <row r="112" spans="2:11" ht="49.5">
      <c r="B112" s="1448"/>
      <c r="C112" s="93"/>
      <c r="D112" s="46" t="s">
        <v>683</v>
      </c>
      <c r="E112" s="6"/>
      <c r="F112" s="6"/>
      <c r="G112" s="6"/>
      <c r="H112" s="6"/>
      <c r="I112" s="6"/>
      <c r="J112" s="6"/>
      <c r="K112" s="6"/>
    </row>
    <row r="113" spans="2:11" ht="37.5">
      <c r="B113" s="1448"/>
      <c r="C113" s="93"/>
      <c r="D113" s="46" t="s">
        <v>684</v>
      </c>
      <c r="E113" s="6"/>
      <c r="F113" s="6"/>
      <c r="G113" s="6"/>
      <c r="H113" s="6"/>
      <c r="I113" s="6"/>
      <c r="J113" s="6"/>
      <c r="K113" s="6"/>
    </row>
    <row r="114" spans="2:11" ht="49.5">
      <c r="B114" s="1448"/>
      <c r="C114" s="93"/>
      <c r="D114" s="46" t="s">
        <v>685</v>
      </c>
      <c r="E114" s="6"/>
      <c r="F114" s="6"/>
      <c r="G114" s="6"/>
      <c r="H114" s="6"/>
      <c r="I114" s="6"/>
      <c r="J114" s="6"/>
      <c r="K114" s="6"/>
    </row>
    <row r="115" spans="2:11">
      <c r="B115" s="1448"/>
      <c r="C115" s="93"/>
      <c r="D115" s="53" t="s">
        <v>246</v>
      </c>
      <c r="E115" s="6"/>
      <c r="F115" s="6"/>
      <c r="G115" s="6"/>
      <c r="H115" s="6"/>
      <c r="I115" s="6"/>
      <c r="J115" s="6"/>
      <c r="K115" s="6"/>
    </row>
    <row r="116" spans="2:11" ht="48">
      <c r="B116" s="1448"/>
      <c r="C116" s="93"/>
      <c r="D116" s="53" t="s">
        <v>686</v>
      </c>
      <c r="E116" s="6"/>
      <c r="F116" s="6"/>
      <c r="G116" s="6"/>
      <c r="H116" s="6"/>
      <c r="I116" s="6"/>
      <c r="J116" s="6"/>
      <c r="K116" s="6"/>
    </row>
    <row r="117" spans="2:11">
      <c r="B117" s="1448"/>
      <c r="C117" s="93"/>
      <c r="D117" s="17"/>
      <c r="E117" s="6"/>
      <c r="F117" s="6"/>
      <c r="G117" s="6"/>
      <c r="H117" s="6"/>
      <c r="I117" s="6"/>
      <c r="J117" s="6"/>
      <c r="K117" s="6"/>
    </row>
    <row r="118" spans="2:11">
      <c r="B118" s="1448"/>
      <c r="C118" s="93"/>
      <c r="D118" s="46" t="s">
        <v>91</v>
      </c>
      <c r="E118" s="6"/>
      <c r="F118" s="6"/>
      <c r="G118" s="6"/>
      <c r="H118" s="6"/>
      <c r="I118" s="6"/>
      <c r="J118" s="6"/>
      <c r="K118" s="6"/>
    </row>
    <row r="119" spans="2:11" ht="61.5">
      <c r="B119" s="1448"/>
      <c r="C119" s="93"/>
      <c r="D119" s="46" t="s">
        <v>687</v>
      </c>
      <c r="E119" s="6"/>
      <c r="F119" s="6"/>
      <c r="G119" s="6"/>
      <c r="H119" s="6"/>
      <c r="I119" s="6"/>
      <c r="J119" s="6"/>
      <c r="K119" s="6"/>
    </row>
    <row r="120" spans="2:11" ht="61.5">
      <c r="B120" s="1448"/>
      <c r="C120" s="93"/>
      <c r="D120" s="46" t="s">
        <v>688</v>
      </c>
      <c r="E120" s="6"/>
      <c r="F120" s="6"/>
      <c r="G120" s="6"/>
      <c r="H120" s="6"/>
      <c r="I120" s="6"/>
      <c r="J120" s="6"/>
      <c r="K120" s="6"/>
    </row>
    <row r="121" spans="2:11" ht="62.25" thickBot="1">
      <c r="B121" s="1449"/>
      <c r="C121" s="3"/>
      <c r="D121" s="40" t="s">
        <v>689</v>
      </c>
      <c r="E121" s="6"/>
      <c r="F121" s="6"/>
      <c r="G121" s="6"/>
      <c r="H121" s="6"/>
      <c r="I121" s="6"/>
      <c r="J121" s="6"/>
      <c r="K121" s="6"/>
    </row>
    <row r="122" spans="2:11">
      <c r="B122" s="6"/>
      <c r="D122" s="6"/>
      <c r="E122" s="6"/>
      <c r="F122" s="6"/>
      <c r="G122" s="6"/>
      <c r="H122" s="6"/>
      <c r="I122" s="6"/>
      <c r="J122" s="6"/>
      <c r="K122" s="6"/>
    </row>
    <row r="123" spans="2:11">
      <c r="B123" s="6"/>
      <c r="D123" s="6"/>
      <c r="E123" s="6"/>
      <c r="F123" s="6"/>
      <c r="G123" s="6"/>
      <c r="H123" s="6"/>
      <c r="I123" s="6"/>
      <c r="J123" s="6"/>
      <c r="K123" s="6"/>
    </row>
    <row r="124" spans="2:11">
      <c r="B124" s="6"/>
      <c r="D124" s="6"/>
      <c r="E124" s="6"/>
      <c r="F124" s="6"/>
      <c r="G124" s="6"/>
      <c r="H124" s="6"/>
      <c r="I124" s="6"/>
      <c r="J124" s="6"/>
      <c r="K124" s="6"/>
    </row>
    <row r="125" spans="2:11">
      <c r="B125" s="6"/>
      <c r="D125" s="6"/>
      <c r="E125" s="6"/>
      <c r="F125" s="6"/>
      <c r="G125" s="6"/>
      <c r="H125" s="6"/>
      <c r="I125" s="6"/>
      <c r="J125" s="6"/>
      <c r="K125" s="6"/>
    </row>
    <row r="126" spans="2:11">
      <c r="B126" s="6"/>
      <c r="D126" s="6"/>
      <c r="E126" s="6"/>
      <c r="F126" s="6"/>
      <c r="G126" s="6"/>
      <c r="H126" s="6"/>
      <c r="I126" s="6"/>
      <c r="J126" s="6"/>
      <c r="K126" s="6"/>
    </row>
    <row r="127" spans="2:11">
      <c r="B127" s="6"/>
      <c r="D127" s="6"/>
      <c r="E127" s="6"/>
      <c r="F127" s="6"/>
      <c r="G127" s="6"/>
      <c r="H127" s="6"/>
      <c r="I127" s="6"/>
      <c r="J127" s="6"/>
      <c r="K127" s="6"/>
    </row>
    <row r="128" spans="2:11">
      <c r="B128" s="6"/>
      <c r="D128" s="6"/>
      <c r="E128" s="6"/>
      <c r="F128" s="6"/>
      <c r="G128" s="6"/>
      <c r="H128" s="6"/>
      <c r="I128" s="6"/>
      <c r="J128" s="6"/>
      <c r="K128" s="6"/>
    </row>
    <row r="129" spans="2:11">
      <c r="B129" s="6"/>
      <c r="D129" s="6"/>
      <c r="E129" s="6"/>
      <c r="F129" s="6"/>
      <c r="G129" s="6"/>
      <c r="H129" s="6"/>
      <c r="I129" s="6"/>
      <c r="J129" s="6"/>
      <c r="K129" s="6"/>
    </row>
    <row r="130" spans="2:11">
      <c r="B130" s="6"/>
      <c r="D130" s="6"/>
      <c r="E130" s="6"/>
      <c r="F130" s="6"/>
      <c r="G130" s="6"/>
      <c r="H130" s="6"/>
      <c r="I130" s="6"/>
      <c r="J130" s="6"/>
      <c r="K130" s="6"/>
    </row>
    <row r="131" spans="2:11">
      <c r="B131" s="6"/>
      <c r="D131" s="6"/>
      <c r="E131" s="6"/>
      <c r="F131" s="6"/>
      <c r="G131" s="6"/>
      <c r="H131" s="6"/>
      <c r="I131" s="6"/>
      <c r="J131" s="6"/>
      <c r="K131" s="6"/>
    </row>
    <row r="132" spans="2:11">
      <c r="B132" s="6"/>
      <c r="D132" s="6"/>
      <c r="E132" s="6"/>
      <c r="F132" s="6"/>
      <c r="G132" s="6"/>
      <c r="H132" s="6"/>
      <c r="I132" s="6"/>
      <c r="J132" s="6"/>
      <c r="K132" s="6"/>
    </row>
    <row r="133" spans="2:11">
      <c r="B133" s="6"/>
      <c r="D133" s="6"/>
      <c r="E133" s="6"/>
      <c r="F133" s="6"/>
      <c r="G133" s="6"/>
      <c r="H133" s="6"/>
      <c r="I133" s="6"/>
      <c r="J133" s="6"/>
      <c r="K133" s="6"/>
    </row>
    <row r="134" spans="2:11">
      <c r="B134" s="6"/>
      <c r="D134" s="6"/>
      <c r="E134" s="6"/>
      <c r="F134" s="6"/>
      <c r="G134" s="6"/>
      <c r="H134" s="6"/>
      <c r="I134" s="6"/>
      <c r="J134" s="6"/>
      <c r="K134" s="6"/>
    </row>
    <row r="135" spans="2:11">
      <c r="B135" s="6"/>
      <c r="D135" s="6"/>
      <c r="E135" s="6"/>
      <c r="F135" s="6"/>
      <c r="G135" s="6"/>
      <c r="H135" s="6"/>
      <c r="I135" s="6"/>
      <c r="J135" s="6"/>
      <c r="K135" s="6"/>
    </row>
    <row r="136" spans="2:11">
      <c r="B136" s="6"/>
      <c r="D136" s="6"/>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row r="180" spans="2:11">
      <c r="B180" s="6"/>
      <c r="D180" s="6"/>
      <c r="E180" s="6"/>
      <c r="F180" s="6"/>
      <c r="G180" s="6"/>
      <c r="H180" s="6"/>
      <c r="I180" s="6"/>
      <c r="J180" s="6"/>
      <c r="K180" s="6"/>
    </row>
  </sheetData>
  <sheetProtection insertRows="0"/>
  <mergeCells count="40">
    <mergeCell ref="A1:P1"/>
    <mergeCell ref="A2:P2"/>
    <mergeCell ref="A3:P3"/>
    <mergeCell ref="A4:D4"/>
    <mergeCell ref="A5:P5"/>
    <mergeCell ref="B15:B20"/>
    <mergeCell ref="B73:F74"/>
    <mergeCell ref="B68:F68"/>
    <mergeCell ref="D22:K22"/>
    <mergeCell ref="D23:K23"/>
    <mergeCell ref="D34:K34"/>
    <mergeCell ref="D35:K35"/>
    <mergeCell ref="B50:E50"/>
    <mergeCell ref="B51:B57"/>
    <mergeCell ref="F24:F26"/>
    <mergeCell ref="G24:J24"/>
    <mergeCell ref="H25:H26"/>
    <mergeCell ref="I25:I26"/>
    <mergeCell ref="J25:J26"/>
    <mergeCell ref="C36:C38"/>
    <mergeCell ref="D15:K15"/>
    <mergeCell ref="B89:B108"/>
    <mergeCell ref="B109:B121"/>
    <mergeCell ref="C24:C26"/>
    <mergeCell ref="D24:D26"/>
    <mergeCell ref="E24:E26"/>
    <mergeCell ref="B80:B87"/>
    <mergeCell ref="B59:E59"/>
    <mergeCell ref="B60:B66"/>
    <mergeCell ref="D16:K16"/>
    <mergeCell ref="D21:K21"/>
    <mergeCell ref="D36:D38"/>
    <mergeCell ref="E36:F36"/>
    <mergeCell ref="E37:E38"/>
    <mergeCell ref="G37:G38"/>
    <mergeCell ref="B10:D10"/>
    <mergeCell ref="F10:S10"/>
    <mergeCell ref="F11:S11"/>
    <mergeCell ref="E12:R12"/>
    <mergeCell ref="E13:R13"/>
  </mergeCells>
  <conditionalFormatting sqref="D45">
    <cfRule type="containsText" dxfId="67" priority="7" operator="containsText" text="ERROR">
      <formula>NOT(ISERROR(SEARCH("ERROR",D45)))</formula>
    </cfRule>
  </conditionalFormatting>
  <conditionalFormatting sqref="F11:S11">
    <cfRule type="expression" dxfId="66" priority="4">
      <formula>E11="NO SE REPORTA"</formula>
    </cfRule>
    <cfRule type="expression" dxfId="65" priority="5">
      <formula>E10="NO APLICA"</formula>
    </cfRule>
  </conditionalFormatting>
  <conditionalFormatting sqref="E12:R12">
    <cfRule type="expression" dxfId="64" priority="3">
      <formula>E11="SI SE REPORTA"</formula>
    </cfRule>
  </conditionalFormatting>
  <conditionalFormatting sqref="F10:S10">
    <cfRule type="expression" dxfId="63" priority="1">
      <formula>E10="NO SE REPORTA"</formula>
    </cfRule>
    <cfRule type="expression" dxfId="62" priority="2">
      <formula>E9="NO APLICA"</formula>
    </cfRule>
  </conditionalFormatting>
  <dataValidations count="6">
    <dataValidation type="whole" operator="greaterThanOrEqual" allowBlank="1" showErrorMessage="1" errorTitle="ERROR" error="Escriba un número igual o mayor que 0" promptTitle="ERROR" prompt="Escriba un número igual o mayor que 0" sqref="E18:H19">
      <formula1>0</formula1>
    </dataValidation>
    <dataValidation type="whole" operator="greaterThanOrEqual" allowBlank="1" showInputMessage="1" showErrorMessage="1" errorTitle="ERROR" error="Valor en PESOS (sin centavos)" sqref="G27:J27 G30:J32">
      <formula1>0</formula1>
    </dataValidation>
    <dataValidation type="decimal" allowBlank="1" showInputMessage="1" showErrorMessage="1" errorTitle="ERROR" error="Escriba un valor entre 0% y 100%" sqref="D39:D44">
      <formula1>0</formula1>
      <formula2>1</formula2>
    </dataValidation>
    <dataValidation allowBlank="1" showInputMessage="1" showErrorMessage="1" sqref="D45 I18:I19 G33:J33 E39:F45"/>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legacy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172"/>
  <sheetViews>
    <sheetView showGridLines="0" topLeftCell="A13" zoomScale="98" zoomScaleNormal="98" workbookViewId="0">
      <selection activeCell="N18" sqref="N18"/>
    </sheetView>
  </sheetViews>
  <sheetFormatPr baseColWidth="10" defaultRowHeight="15"/>
  <cols>
    <col min="1" max="1" width="1.85546875" customWidth="1"/>
    <col min="2" max="2" width="12.85546875" customWidth="1"/>
    <col min="3" max="3" width="5" style="86" bestFit="1" customWidth="1"/>
    <col min="4" max="4" width="34.85546875" customWidth="1"/>
    <col min="5" max="5" width="24.85546875" customWidth="1"/>
  </cols>
  <sheetData>
    <row r="1" spans="1:20" s="490" customFormat="1" ht="100.5" customHeight="1" thickBot="1">
      <c r="A1" s="1334"/>
      <c r="B1" s="1335"/>
      <c r="C1" s="1335"/>
      <c r="D1" s="1335"/>
      <c r="E1" s="1335"/>
      <c r="F1" s="1335"/>
      <c r="G1" s="1335"/>
      <c r="H1" s="1335"/>
      <c r="I1" s="1335"/>
      <c r="J1" s="1335"/>
      <c r="K1" s="1335"/>
      <c r="L1" s="1335"/>
      <c r="M1" s="1335"/>
      <c r="N1" s="1335"/>
      <c r="O1" s="1335"/>
      <c r="P1" s="1336"/>
      <c r="Q1" s="389"/>
      <c r="R1" s="389"/>
    </row>
    <row r="2" spans="1:20" s="491" customFormat="1" ht="16.5" thickBot="1">
      <c r="A2" s="1342" t="str">
        <f>'Datos Generales'!C5</f>
        <v>Corporación Autónoma Regional del Cesar – CORPOCESAR</v>
      </c>
      <c r="B2" s="1343"/>
      <c r="C2" s="1343"/>
      <c r="D2" s="1343"/>
      <c r="E2" s="1343"/>
      <c r="F2" s="1343"/>
      <c r="G2" s="1343"/>
      <c r="H2" s="1343"/>
      <c r="I2" s="1343"/>
      <c r="J2" s="1343"/>
      <c r="K2" s="1343"/>
      <c r="L2" s="1343"/>
      <c r="M2" s="1343"/>
      <c r="N2" s="1343"/>
      <c r="O2" s="1343"/>
      <c r="P2" s="1344"/>
      <c r="Q2" s="389"/>
      <c r="R2" s="389"/>
    </row>
    <row r="3" spans="1:20" s="491" customFormat="1" ht="16.5" thickBot="1">
      <c r="A3" s="1337" t="s">
        <v>1294</v>
      </c>
      <c r="B3" s="1338"/>
      <c r="C3" s="1338"/>
      <c r="D3" s="1338"/>
      <c r="E3" s="1338"/>
      <c r="F3" s="1338"/>
      <c r="G3" s="1338"/>
      <c r="H3" s="1338"/>
      <c r="I3" s="1338"/>
      <c r="J3" s="1338"/>
      <c r="K3" s="1338"/>
      <c r="L3" s="1338"/>
      <c r="M3" s="1338"/>
      <c r="N3" s="1338"/>
      <c r="O3" s="1338"/>
      <c r="P3" s="1339"/>
      <c r="Q3" s="389"/>
      <c r="R3" s="389"/>
    </row>
    <row r="4" spans="1:20" s="491" customFormat="1" ht="16.5" thickBot="1">
      <c r="A4" s="1340" t="s">
        <v>1293</v>
      </c>
      <c r="B4" s="1341"/>
      <c r="C4" s="1341"/>
      <c r="D4" s="1341"/>
      <c r="E4" s="498">
        <v>2022</v>
      </c>
      <c r="F4" s="498"/>
      <c r="G4" s="498"/>
      <c r="H4" s="498"/>
      <c r="I4" s="498"/>
      <c r="J4" s="498"/>
      <c r="K4" s="498"/>
      <c r="L4" s="499"/>
      <c r="M4" s="499"/>
      <c r="N4" s="499"/>
      <c r="O4" s="499"/>
      <c r="P4" s="500"/>
      <c r="Q4" s="389"/>
      <c r="R4" s="389"/>
    </row>
    <row r="5" spans="1:20" s="235" customFormat="1" ht="16.5" customHeight="1" thickBot="1">
      <c r="A5" s="1337" t="s">
        <v>702</v>
      </c>
      <c r="B5" s="1338"/>
      <c r="C5" s="1338"/>
      <c r="D5" s="1338"/>
      <c r="E5" s="1338"/>
      <c r="F5" s="1338"/>
      <c r="G5" s="1338"/>
      <c r="H5" s="1338"/>
      <c r="I5" s="1338"/>
      <c r="J5" s="1338"/>
      <c r="K5" s="1338"/>
      <c r="L5" s="1338"/>
      <c r="M5" s="1338"/>
      <c r="N5" s="1338"/>
      <c r="O5" s="1338"/>
      <c r="P5" s="1339"/>
    </row>
    <row r="6" spans="1:20">
      <c r="B6" s="2" t="s">
        <v>1</v>
      </c>
      <c r="C6" s="75"/>
      <c r="D6" s="6"/>
      <c r="E6" s="73"/>
      <c r="F6" s="6" t="s">
        <v>128</v>
      </c>
      <c r="G6" s="6"/>
      <c r="H6" s="6"/>
      <c r="I6" s="6"/>
      <c r="J6" s="6"/>
      <c r="K6" s="6"/>
    </row>
    <row r="7" spans="1:20" ht="15.75" thickBot="1">
      <c r="B7" s="74"/>
      <c r="C7" s="76"/>
      <c r="D7" s="6"/>
      <c r="E7" s="18"/>
      <c r="F7" s="6" t="s">
        <v>129</v>
      </c>
      <c r="G7" s="6"/>
      <c r="H7" s="6"/>
      <c r="I7" s="6"/>
      <c r="J7" s="6"/>
      <c r="K7" s="6"/>
    </row>
    <row r="8" spans="1:20" ht="15.75" thickBot="1">
      <c r="B8" s="170" t="s">
        <v>1181</v>
      </c>
      <c r="C8" s="213">
        <v>2022</v>
      </c>
      <c r="D8" s="218">
        <f>IF(E10="NO APLICA","NO APLICA",IF(E11="NO SE REPORTA","SIN INFORMACION",+I30))</f>
        <v>0.25</v>
      </c>
      <c r="E8" s="214"/>
      <c r="F8" s="6" t="s">
        <v>130</v>
      </c>
      <c r="G8" s="6"/>
      <c r="H8" s="6"/>
      <c r="I8" s="6"/>
      <c r="J8" s="6"/>
      <c r="K8" s="6"/>
    </row>
    <row r="9" spans="1:20">
      <c r="B9" s="462" t="s">
        <v>1182</v>
      </c>
      <c r="D9" s="6"/>
      <c r="E9" s="6"/>
      <c r="F9" s="6"/>
      <c r="G9" s="6"/>
      <c r="H9" s="6"/>
      <c r="I9" s="6"/>
      <c r="J9" s="6"/>
      <c r="K9" s="6"/>
    </row>
    <row r="10" spans="1:20" s="389" customFormat="1">
      <c r="A10" s="235"/>
      <c r="B10" s="1392" t="s">
        <v>1236</v>
      </c>
      <c r="C10" s="1392"/>
      <c r="D10" s="1392"/>
      <c r="E10" s="468" t="s">
        <v>1233</v>
      </c>
      <c r="F10" s="1412" t="str">
        <f>'18Sector'!F10</f>
        <v>Acuerdo 005 del 22 de mayo de 2020 (Por medio del cual se aprueba el Plan de Accion Institucional 2020 -2023)</v>
      </c>
      <c r="G10" s="1412"/>
      <c r="H10" s="1412"/>
      <c r="I10" s="1412"/>
      <c r="J10" s="1412"/>
      <c r="K10" s="1412"/>
      <c r="L10" s="1412"/>
      <c r="M10" s="1412"/>
      <c r="N10" s="1412"/>
      <c r="O10" s="1412"/>
      <c r="P10" s="1412"/>
      <c r="Q10" s="1412"/>
      <c r="R10" s="1412"/>
      <c r="S10" s="464"/>
      <c r="T10" s="464"/>
    </row>
    <row r="11" spans="1:20" s="389" customFormat="1" ht="14.45" customHeight="1">
      <c r="A11" s="235"/>
      <c r="B11" s="465"/>
      <c r="C11" s="466"/>
      <c r="D11" s="467" t="str">
        <f>IF(E10="SI APLICA","¿El indicador no se reporta por limitaciones de información disponible? ","")</f>
        <v xml:space="preserve">¿El indicador no se reporta por limitaciones de información disponible? </v>
      </c>
      <c r="E11" s="469" t="s">
        <v>1235</v>
      </c>
      <c r="F11" s="1412"/>
      <c r="G11" s="1412"/>
      <c r="H11" s="1412"/>
      <c r="I11" s="1412"/>
      <c r="J11" s="1412"/>
      <c r="K11" s="1412"/>
      <c r="L11" s="1412"/>
      <c r="M11" s="1412"/>
      <c r="N11" s="1412"/>
      <c r="O11" s="1412"/>
      <c r="P11" s="1412"/>
      <c r="Q11" s="1412"/>
      <c r="R11" s="1412"/>
    </row>
    <row r="12" spans="1:20" s="389" customFormat="1" ht="41.25" customHeight="1">
      <c r="A12" s="235"/>
      <c r="B12" s="462"/>
      <c r="C12" s="292"/>
      <c r="D12" s="467" t="str">
        <f>IF(E11="SI SE REPORTA","¿Qué programas o proyectos del Plan de Acción están asociados al indicador? ","")</f>
        <v xml:space="preserve">¿Qué programas o proyectos del Plan de Acción están asociados al indicador? </v>
      </c>
      <c r="E12" s="1430" t="s">
        <v>2172</v>
      </c>
      <c r="F12" s="1430"/>
      <c r="G12" s="1430"/>
      <c r="H12" s="1430"/>
      <c r="I12" s="1430"/>
      <c r="J12" s="1430"/>
      <c r="K12" s="1430"/>
      <c r="L12" s="1430"/>
      <c r="M12" s="1430"/>
      <c r="N12" s="1430"/>
      <c r="O12" s="1430"/>
      <c r="P12" s="1430"/>
      <c r="Q12" s="1430"/>
      <c r="R12" s="1430"/>
    </row>
    <row r="13" spans="1:20" s="389" customFormat="1" ht="21.95" customHeight="1">
      <c r="A13" s="235"/>
      <c r="B13" s="462"/>
      <c r="C13" s="292"/>
      <c r="D13" s="467" t="s">
        <v>1238</v>
      </c>
      <c r="E13" s="1395"/>
      <c r="F13" s="1396"/>
      <c r="G13" s="1396"/>
      <c r="H13" s="1396"/>
      <c r="I13" s="1396"/>
      <c r="J13" s="1396"/>
      <c r="K13" s="1396"/>
      <c r="L13" s="1396"/>
      <c r="M13" s="1396"/>
      <c r="N13" s="1396"/>
      <c r="O13" s="1396"/>
      <c r="P13" s="1396"/>
      <c r="Q13" s="1396"/>
      <c r="R13" s="1397"/>
    </row>
    <row r="14" spans="1:20" s="389" customFormat="1" ht="6.95" customHeight="1" thickBot="1">
      <c r="B14" s="462"/>
      <c r="C14" s="86"/>
      <c r="D14" s="6"/>
      <c r="E14" s="6"/>
      <c r="F14" s="6"/>
      <c r="G14" s="6"/>
      <c r="H14" s="6"/>
      <c r="I14" s="6"/>
      <c r="J14" s="6"/>
      <c r="K14" s="6"/>
    </row>
    <row r="15" spans="1:20" ht="15" customHeight="1" thickTop="1">
      <c r="B15" s="1456" t="s">
        <v>2</v>
      </c>
      <c r="C15" s="88"/>
      <c r="D15" s="1458" t="s">
        <v>336</v>
      </c>
      <c r="E15" s="1459"/>
      <c r="F15" s="1459"/>
      <c r="G15" s="1459"/>
      <c r="H15" s="1459"/>
      <c r="I15" s="1459"/>
      <c r="J15" s="1459"/>
      <c r="K15" s="1459"/>
      <c r="L15" s="1514"/>
    </row>
    <row r="16" spans="1:20" ht="15.75" thickBot="1">
      <c r="B16" s="1457"/>
      <c r="C16" s="91"/>
      <c r="D16" s="1561" t="s">
        <v>751</v>
      </c>
      <c r="E16" s="1562"/>
      <c r="F16" s="1562"/>
      <c r="G16" s="1562"/>
      <c r="H16" s="1562"/>
      <c r="I16" s="1562"/>
      <c r="J16" s="1562"/>
      <c r="K16" s="1562"/>
      <c r="L16" s="1599"/>
    </row>
    <row r="17" spans="2:12" ht="15.75" thickBot="1">
      <c r="B17" s="1457"/>
      <c r="C17" s="89" t="s">
        <v>19</v>
      </c>
      <c r="D17" s="38" t="s">
        <v>253</v>
      </c>
      <c r="E17" s="38" t="s">
        <v>20</v>
      </c>
      <c r="F17" s="38" t="s">
        <v>21</v>
      </c>
      <c r="G17" s="38" t="s">
        <v>22</v>
      </c>
      <c r="H17" s="38" t="s">
        <v>23</v>
      </c>
      <c r="I17" s="38" t="s">
        <v>254</v>
      </c>
      <c r="J17" s="6"/>
      <c r="L17" s="22"/>
    </row>
    <row r="18" spans="2:12" ht="24.75" thickBot="1">
      <c r="B18" s="1457"/>
      <c r="C18" s="90" t="s">
        <v>152</v>
      </c>
      <c r="D18" s="40" t="s">
        <v>764</v>
      </c>
      <c r="E18" s="7">
        <v>0</v>
      </c>
      <c r="F18" s="7">
        <v>1</v>
      </c>
      <c r="G18" s="7">
        <v>1</v>
      </c>
      <c r="H18" s="7"/>
      <c r="I18" s="147">
        <f>SUM(E18:H18)</f>
        <v>2</v>
      </c>
      <c r="J18" s="6"/>
      <c r="L18" s="22"/>
    </row>
    <row r="19" spans="2:12">
      <c r="B19" s="1457"/>
      <c r="C19" s="91"/>
      <c r="D19" s="1464"/>
      <c r="E19" s="1465"/>
      <c r="F19" s="1465"/>
      <c r="G19" s="1465"/>
      <c r="H19" s="1465"/>
      <c r="I19" s="1465"/>
      <c r="J19" s="1465"/>
      <c r="K19" s="1465"/>
      <c r="L19" s="1515"/>
    </row>
    <row r="20" spans="2:12" ht="15.75" thickBot="1">
      <c r="B20" s="409"/>
      <c r="C20" s="91"/>
      <c r="D20" s="1464" t="s">
        <v>765</v>
      </c>
      <c r="E20" s="1465"/>
      <c r="F20" s="1465"/>
      <c r="G20" s="1465"/>
      <c r="H20" s="1465"/>
      <c r="I20" s="1465"/>
      <c r="J20" s="1465"/>
      <c r="K20" s="1465"/>
      <c r="L20" s="1515"/>
    </row>
    <row r="21" spans="2:12" ht="15.75" thickBot="1">
      <c r="B21" s="409"/>
      <c r="C21" s="1541" t="s">
        <v>19</v>
      </c>
      <c r="D21" s="1447" t="s">
        <v>270</v>
      </c>
      <c r="E21" s="1447" t="s">
        <v>619</v>
      </c>
      <c r="F21" s="1596" t="s">
        <v>620</v>
      </c>
      <c r="G21" s="1597"/>
      <c r="H21" s="1597"/>
      <c r="I21" s="1597"/>
      <c r="J21" s="1598"/>
      <c r="L21" s="22"/>
    </row>
    <row r="22" spans="2:12" ht="36.75" thickBot="1">
      <c r="B22" s="409"/>
      <c r="C22" s="1542"/>
      <c r="D22" s="1449"/>
      <c r="E22" s="1449"/>
      <c r="F22" s="40" t="s">
        <v>621</v>
      </c>
      <c r="G22" s="40" t="s">
        <v>622</v>
      </c>
      <c r="H22" s="40" t="s">
        <v>623</v>
      </c>
      <c r="I22" s="40" t="s">
        <v>624</v>
      </c>
      <c r="J22" s="40" t="s">
        <v>55</v>
      </c>
      <c r="L22" s="22"/>
    </row>
    <row r="23" spans="2:12" ht="60.75" thickBot="1">
      <c r="B23" s="409"/>
      <c r="C23" s="133"/>
      <c r="D23" s="44" t="s">
        <v>1549</v>
      </c>
      <c r="E23" s="44" t="s">
        <v>2161</v>
      </c>
      <c r="F23" s="1185">
        <v>1</v>
      </c>
      <c r="G23" s="1185">
        <v>0.5</v>
      </c>
      <c r="H23" s="1185">
        <v>0.5</v>
      </c>
      <c r="I23" s="151">
        <f>+G23*H23</f>
        <v>0.25</v>
      </c>
      <c r="J23" s="554"/>
      <c r="L23" s="22"/>
    </row>
    <row r="24" spans="2:12" ht="15.75" thickBot="1">
      <c r="B24" s="409"/>
      <c r="C24" s="133"/>
      <c r="D24" s="44"/>
      <c r="E24" s="44"/>
      <c r="F24" s="1185"/>
      <c r="G24" s="1185"/>
      <c r="H24" s="1185"/>
      <c r="I24" s="151">
        <f t="shared" ref="I24:I29" si="0">+G24*H24</f>
        <v>0</v>
      </c>
      <c r="J24" s="31"/>
      <c r="L24" s="22"/>
    </row>
    <row r="25" spans="2:12" ht="15.75" thickBot="1">
      <c r="B25" s="409"/>
      <c r="C25" s="133"/>
      <c r="D25" s="41"/>
      <c r="E25" s="44"/>
      <c r="F25" s="216"/>
      <c r="G25" s="216"/>
      <c r="H25" s="216"/>
      <c r="I25" s="151">
        <f t="shared" si="0"/>
        <v>0</v>
      </c>
      <c r="J25" s="31"/>
      <c r="L25" s="22"/>
    </row>
    <row r="26" spans="2:12" ht="15.75" thickBot="1">
      <c r="B26" s="409"/>
      <c r="C26" s="133"/>
      <c r="D26" s="41"/>
      <c r="E26" s="44"/>
      <c r="F26" s="216"/>
      <c r="G26" s="216"/>
      <c r="H26" s="216"/>
      <c r="I26" s="151">
        <f t="shared" si="0"/>
        <v>0</v>
      </c>
      <c r="J26" s="31"/>
      <c r="L26" s="22"/>
    </row>
    <row r="27" spans="2:12" ht="15.75" thickBot="1">
      <c r="B27" s="409"/>
      <c r="C27" s="133"/>
      <c r="D27" s="41"/>
      <c r="E27" s="44"/>
      <c r="F27" s="216"/>
      <c r="G27" s="216"/>
      <c r="H27" s="216"/>
      <c r="I27" s="151">
        <f t="shared" si="0"/>
        <v>0</v>
      </c>
      <c r="J27" s="31"/>
      <c r="L27" s="22"/>
    </row>
    <row r="28" spans="2:12" ht="15.75" thickBot="1">
      <c r="B28" s="409"/>
      <c r="C28" s="133"/>
      <c r="D28" s="41"/>
      <c r="E28" s="44"/>
      <c r="F28" s="216"/>
      <c r="G28" s="216"/>
      <c r="H28" s="216"/>
      <c r="I28" s="151">
        <f t="shared" si="0"/>
        <v>0</v>
      </c>
      <c r="J28" s="31"/>
      <c r="L28" s="22"/>
    </row>
    <row r="29" spans="2:12" ht="15.75" thickBot="1">
      <c r="B29" s="409"/>
      <c r="C29" s="133"/>
      <c r="D29" s="41"/>
      <c r="E29" s="44"/>
      <c r="F29" s="216"/>
      <c r="G29" s="216"/>
      <c r="H29" s="216"/>
      <c r="I29" s="151">
        <f t="shared" si="0"/>
        <v>0</v>
      </c>
      <c r="J29" s="31"/>
      <c r="L29" s="22"/>
    </row>
    <row r="30" spans="2:12" ht="15.75" thickBot="1">
      <c r="B30" s="409"/>
      <c r="C30" s="93"/>
      <c r="D30" s="39"/>
      <c r="E30" s="39" t="s">
        <v>151</v>
      </c>
      <c r="F30" s="39"/>
      <c r="G30" s="39"/>
      <c r="H30" s="199" t="str">
        <f>Formulas!$D$23</f>
        <v>ERROR: LA SUMA DE LA COLUMNA DEBE SER 100%</v>
      </c>
      <c r="I30" s="151">
        <f>Formulas!$E$23</f>
        <v>0.25</v>
      </c>
      <c r="J30" s="31"/>
      <c r="L30" s="22"/>
    </row>
    <row r="31" spans="2:12">
      <c r="B31" s="409"/>
      <c r="C31" s="91"/>
      <c r="D31" s="1464" t="s">
        <v>630</v>
      </c>
      <c r="E31" s="1465"/>
      <c r="F31" s="1465"/>
      <c r="G31" s="1465"/>
      <c r="H31" s="1465"/>
      <c r="I31" s="1465"/>
      <c r="J31" s="1465"/>
      <c r="K31" s="1465"/>
      <c r="L31" s="1515"/>
    </row>
    <row r="32" spans="2:12">
      <c r="B32" s="409"/>
      <c r="C32" s="91"/>
      <c r="D32" s="1461" t="s">
        <v>246</v>
      </c>
      <c r="E32" s="1462"/>
      <c r="F32" s="1462"/>
      <c r="G32" s="1462"/>
      <c r="H32" s="1462"/>
      <c r="I32" s="1462"/>
      <c r="J32" s="1462"/>
      <c r="K32" s="1462"/>
      <c r="L32" s="1516"/>
    </row>
    <row r="33" spans="2:12" ht="15.75" thickBot="1">
      <c r="B33" s="409"/>
      <c r="C33" s="91"/>
      <c r="D33" s="1467" t="s">
        <v>766</v>
      </c>
      <c r="E33" s="1468"/>
      <c r="F33" s="1468"/>
      <c r="G33" s="1468"/>
      <c r="H33" s="1468"/>
      <c r="I33" s="1468"/>
      <c r="J33" s="1468"/>
      <c r="K33" s="1468"/>
      <c r="L33" s="1600"/>
    </row>
    <row r="34" spans="2:12" ht="15.75" thickBot="1">
      <c r="B34" s="409"/>
      <c r="C34" s="1541" t="s">
        <v>19</v>
      </c>
      <c r="D34" s="1530" t="s">
        <v>270</v>
      </c>
      <c r="E34" s="1530" t="s">
        <v>619</v>
      </c>
      <c r="F34" s="1596" t="s">
        <v>692</v>
      </c>
      <c r="G34" s="1597"/>
      <c r="H34" s="1597"/>
      <c r="I34" s="1597"/>
      <c r="J34" s="1597"/>
      <c r="K34" s="1598"/>
      <c r="L34" s="117"/>
    </row>
    <row r="35" spans="2:12" ht="23.25" thickBot="1">
      <c r="B35" s="409"/>
      <c r="C35" s="1542"/>
      <c r="D35" s="1532"/>
      <c r="E35" s="1532"/>
      <c r="F35" s="523" t="s">
        <v>767</v>
      </c>
      <c r="G35" s="525" t="s">
        <v>344</v>
      </c>
      <c r="H35" s="525" t="s">
        <v>274</v>
      </c>
      <c r="I35" s="525" t="s">
        <v>275</v>
      </c>
      <c r="J35" s="66" t="s">
        <v>768</v>
      </c>
      <c r="K35" s="66" t="s">
        <v>769</v>
      </c>
      <c r="L35" s="12"/>
    </row>
    <row r="36" spans="2:12" ht="64.5" thickBot="1">
      <c r="B36" s="409"/>
      <c r="C36" s="450">
        <v>4.0999999999999996</v>
      </c>
      <c r="D36" s="1252" t="s">
        <v>1549</v>
      </c>
      <c r="E36" s="1170" t="s">
        <v>2171</v>
      </c>
      <c r="F36" s="1253">
        <v>113000000</v>
      </c>
      <c r="G36" s="1254">
        <v>113000000</v>
      </c>
      <c r="H36" s="1255">
        <v>95450780</v>
      </c>
      <c r="I36" s="1255">
        <v>88250780</v>
      </c>
      <c r="J36" s="146">
        <f>+H36/G36</f>
        <v>0.8446971681415929</v>
      </c>
      <c r="K36" s="146">
        <f>+I36/H36</f>
        <v>0.92456845297649737</v>
      </c>
      <c r="L36" s="12"/>
    </row>
    <row r="37" spans="2:12" ht="15.75" thickBot="1">
      <c r="B37" s="409"/>
      <c r="C37" s="100"/>
      <c r="D37" s="2"/>
      <c r="E37" s="45" t="s">
        <v>151</v>
      </c>
      <c r="F37" s="2"/>
      <c r="G37" s="139">
        <f>SUM(G36:G36)</f>
        <v>113000000</v>
      </c>
      <c r="H37" s="139">
        <f>SUM(H36:H36)</f>
        <v>95450780</v>
      </c>
      <c r="I37" s="139">
        <f>SUM(I36:I36)</f>
        <v>88250780</v>
      </c>
      <c r="J37" s="146">
        <f>+H37/G37</f>
        <v>0.8446971681415929</v>
      </c>
      <c r="K37" s="146">
        <f>+I37/H37</f>
        <v>0.92456845297649737</v>
      </c>
      <c r="L37" s="118"/>
    </row>
    <row r="38" spans="2:12" ht="15.75" thickBot="1">
      <c r="B38" s="410"/>
      <c r="C38" s="92"/>
      <c r="D38" s="1499" t="s">
        <v>630</v>
      </c>
      <c r="E38" s="1500"/>
      <c r="F38" s="1500"/>
      <c r="G38" s="1500"/>
      <c r="H38" s="1500"/>
      <c r="I38" s="1500"/>
      <c r="J38" s="1500"/>
      <c r="K38" s="1500"/>
      <c r="L38" s="1517"/>
    </row>
    <row r="39" spans="2:12" ht="16.5" thickTop="1" thickBot="1">
      <c r="B39" s="37"/>
      <c r="C39" s="87"/>
      <c r="D39" s="6"/>
      <c r="E39" s="6"/>
      <c r="F39" s="6"/>
      <c r="G39" s="512">
        <f t="shared" ref="G39" si="1">G40</f>
        <v>0</v>
      </c>
      <c r="H39" s="6"/>
      <c r="I39" s="6"/>
      <c r="J39" s="6"/>
      <c r="K39" s="6"/>
    </row>
    <row r="40" spans="2:12" ht="73.5" thickTop="1" thickBot="1">
      <c r="B40" s="52" t="s">
        <v>34</v>
      </c>
      <c r="C40" s="97"/>
      <c r="D40" s="43" t="s">
        <v>770</v>
      </c>
      <c r="E40" s="6"/>
      <c r="F40" s="6"/>
      <c r="G40" s="6"/>
      <c r="H40" s="6"/>
      <c r="I40" s="6"/>
      <c r="J40" s="6"/>
      <c r="K40" s="6"/>
    </row>
    <row r="41" spans="2:12" ht="60.75" thickBot="1">
      <c r="B41" s="52" t="s">
        <v>36</v>
      </c>
      <c r="C41" s="205"/>
      <c r="D41" s="52" t="s">
        <v>346</v>
      </c>
      <c r="E41" s="6"/>
      <c r="F41" s="6"/>
      <c r="G41" s="6"/>
      <c r="H41" s="6"/>
      <c r="I41" s="6"/>
      <c r="J41" s="6"/>
      <c r="K41" s="6"/>
    </row>
    <row r="42" spans="2:12" ht="15.75" thickBot="1">
      <c r="B42" s="2"/>
      <c r="C42" s="75"/>
      <c r="D42" s="6"/>
      <c r="E42" s="6"/>
      <c r="F42" s="6"/>
      <c r="G42" s="6"/>
      <c r="H42" s="6"/>
      <c r="I42" s="6"/>
      <c r="J42" s="6"/>
      <c r="K42" s="6"/>
    </row>
    <row r="43" spans="2:12" ht="24" customHeight="1" thickBot="1">
      <c r="B43" s="1450" t="s">
        <v>38</v>
      </c>
      <c r="C43" s="1451"/>
      <c r="D43" s="1451"/>
      <c r="E43" s="1452"/>
      <c r="F43" s="6"/>
      <c r="G43" s="6"/>
      <c r="H43" s="6"/>
      <c r="I43" s="6"/>
      <c r="J43" s="6"/>
      <c r="K43" s="6"/>
    </row>
    <row r="44" spans="2:12" ht="36.75" thickBot="1">
      <c r="B44" s="1447">
        <v>1</v>
      </c>
      <c r="C44" s="93"/>
      <c r="D44" s="48" t="s">
        <v>39</v>
      </c>
      <c r="E44" s="617" t="s">
        <v>1411</v>
      </c>
      <c r="F44" s="6"/>
      <c r="G44" s="6"/>
      <c r="H44" s="6"/>
      <c r="I44" s="6"/>
      <c r="J44" s="6"/>
      <c r="K44" s="6"/>
    </row>
    <row r="45" spans="2:12" ht="24.75" thickBot="1">
      <c r="B45" s="1448"/>
      <c r="C45" s="93"/>
      <c r="D45" s="40" t="s">
        <v>40</v>
      </c>
      <c r="E45" s="617" t="s">
        <v>1412</v>
      </c>
      <c r="F45" s="6"/>
      <c r="G45" s="6"/>
      <c r="H45" s="6"/>
      <c r="I45" s="6"/>
      <c r="J45" s="6"/>
      <c r="K45" s="6"/>
    </row>
    <row r="46" spans="2:12" ht="15.75" thickBot="1">
      <c r="B46" s="1448"/>
      <c r="C46" s="93"/>
      <c r="D46" s="40" t="s">
        <v>41</v>
      </c>
      <c r="E46" s="617" t="s">
        <v>1386</v>
      </c>
      <c r="F46" s="6"/>
      <c r="G46" s="6"/>
      <c r="H46" s="6"/>
      <c r="I46" s="6"/>
      <c r="J46" s="6"/>
      <c r="K46" s="6"/>
    </row>
    <row r="47" spans="2:12" ht="15.75" thickBot="1">
      <c r="B47" s="1448"/>
      <c r="C47" s="93"/>
      <c r="D47" s="40" t="s">
        <v>42</v>
      </c>
      <c r="E47" s="617" t="s">
        <v>1387</v>
      </c>
      <c r="F47" s="6"/>
      <c r="G47" s="6"/>
      <c r="H47" s="6"/>
      <c r="I47" s="6"/>
      <c r="J47" s="6"/>
      <c r="K47" s="6"/>
    </row>
    <row r="48" spans="2:12" ht="24.75" thickBot="1">
      <c r="B48" s="1448"/>
      <c r="C48" s="93"/>
      <c r="D48" s="40" t="s">
        <v>43</v>
      </c>
      <c r="E48" s="617" t="s">
        <v>1388</v>
      </c>
      <c r="F48" s="6"/>
      <c r="G48" s="6"/>
      <c r="H48" s="6"/>
      <c r="I48" s="6"/>
      <c r="J48" s="6"/>
      <c r="K48" s="6"/>
    </row>
    <row r="49" spans="2:11" ht="15.75" thickBot="1">
      <c r="B49" s="1448"/>
      <c r="C49" s="93"/>
      <c r="D49" s="40" t="s">
        <v>44</v>
      </c>
      <c r="E49" s="617">
        <v>5748960</v>
      </c>
      <c r="F49" s="6"/>
      <c r="G49" s="6"/>
      <c r="H49" s="6"/>
      <c r="I49" s="6"/>
      <c r="J49" s="6"/>
      <c r="K49" s="6"/>
    </row>
    <row r="50" spans="2:11" ht="15.75" thickBot="1">
      <c r="B50" s="1449"/>
      <c r="C50" s="3"/>
      <c r="D50" s="40" t="s">
        <v>45</v>
      </c>
      <c r="E50" s="617" t="s">
        <v>1395</v>
      </c>
      <c r="F50" s="6"/>
      <c r="G50" s="6"/>
      <c r="H50" s="6"/>
      <c r="I50" s="6"/>
      <c r="J50" s="6"/>
      <c r="K50" s="6"/>
    </row>
    <row r="51" spans="2:11" ht="15.75" thickBot="1">
      <c r="B51" s="2"/>
      <c r="C51" s="75"/>
      <c r="D51" s="6"/>
      <c r="E51" s="6"/>
      <c r="F51" s="6"/>
      <c r="G51" s="6"/>
      <c r="H51" s="6"/>
      <c r="I51" s="6"/>
      <c r="J51" s="6"/>
      <c r="K51" s="6"/>
    </row>
    <row r="52" spans="2:11" ht="15.75" thickBot="1">
      <c r="B52" s="1450" t="s">
        <v>46</v>
      </c>
      <c r="C52" s="1451"/>
      <c r="D52" s="1451"/>
      <c r="E52" s="1452"/>
      <c r="F52" s="6"/>
      <c r="G52" s="6"/>
      <c r="H52" s="6"/>
      <c r="I52" s="6"/>
      <c r="J52" s="6"/>
      <c r="K52" s="6"/>
    </row>
    <row r="53" spans="2:11" ht="24.75" thickBot="1">
      <c r="B53" s="1447">
        <v>1</v>
      </c>
      <c r="C53" s="93"/>
      <c r="D53" s="48" t="s">
        <v>39</v>
      </c>
      <c r="E53" s="615" t="s">
        <v>47</v>
      </c>
      <c r="F53" s="6"/>
      <c r="G53" s="6"/>
      <c r="H53" s="6"/>
      <c r="I53" s="6"/>
      <c r="J53" s="6"/>
      <c r="K53" s="6"/>
    </row>
    <row r="54" spans="2:11" ht="36.75" thickBot="1">
      <c r="B54" s="1448"/>
      <c r="C54" s="93"/>
      <c r="D54" s="40" t="s">
        <v>40</v>
      </c>
      <c r="E54" s="618" t="s">
        <v>160</v>
      </c>
      <c r="F54" s="6"/>
      <c r="G54" s="6"/>
      <c r="H54" s="6"/>
      <c r="I54" s="6"/>
      <c r="J54" s="6"/>
      <c r="K54" s="6"/>
    </row>
    <row r="55" spans="2:11" ht="15.75" thickBot="1">
      <c r="B55" s="1448"/>
      <c r="C55" s="93"/>
      <c r="D55" s="40" t="s">
        <v>41</v>
      </c>
      <c r="E55" s="169"/>
      <c r="F55" s="6"/>
      <c r="G55" s="6"/>
      <c r="H55" s="6"/>
      <c r="I55" s="6"/>
      <c r="J55" s="6"/>
      <c r="K55" s="6"/>
    </row>
    <row r="56" spans="2:11" ht="15.75" thickBot="1">
      <c r="B56" s="1448"/>
      <c r="C56" s="93"/>
      <c r="D56" s="40" t="s">
        <v>42</v>
      </c>
      <c r="E56" s="169"/>
      <c r="F56" s="6"/>
      <c r="G56" s="6"/>
      <c r="H56" s="6"/>
      <c r="I56" s="6"/>
      <c r="J56" s="6"/>
      <c r="K56" s="6"/>
    </row>
    <row r="57" spans="2:11" ht="15.75" thickBot="1">
      <c r="B57" s="1448"/>
      <c r="C57" s="93"/>
      <c r="D57" s="40" t="s">
        <v>43</v>
      </c>
      <c r="E57" s="169"/>
      <c r="F57" s="6"/>
      <c r="G57" s="6"/>
      <c r="H57" s="6"/>
      <c r="I57" s="6"/>
      <c r="J57" s="6"/>
      <c r="K57" s="6"/>
    </row>
    <row r="58" spans="2:11" ht="15.75" thickBot="1">
      <c r="B58" s="1448"/>
      <c r="C58" s="93"/>
      <c r="D58" s="40" t="s">
        <v>44</v>
      </c>
      <c r="E58" s="169"/>
      <c r="F58" s="6"/>
      <c r="G58" s="6"/>
      <c r="H58" s="6"/>
      <c r="I58" s="6"/>
      <c r="J58" s="6"/>
      <c r="K58" s="6"/>
    </row>
    <row r="59" spans="2:11" ht="15.75" thickBot="1">
      <c r="B59" s="1449"/>
      <c r="C59" s="3"/>
      <c r="D59" s="40" t="s">
        <v>45</v>
      </c>
      <c r="E59" s="169"/>
      <c r="F59" s="6"/>
      <c r="G59" s="6"/>
      <c r="H59" s="6"/>
      <c r="I59" s="6"/>
      <c r="J59" s="6"/>
      <c r="K59" s="6"/>
    </row>
    <row r="60" spans="2:11" ht="15.75" thickBot="1">
      <c r="B60" s="2"/>
      <c r="C60" s="75"/>
      <c r="D60" s="6"/>
      <c r="E60" s="6"/>
      <c r="F60" s="6"/>
      <c r="G60" s="6"/>
      <c r="H60" s="6"/>
      <c r="I60" s="6"/>
      <c r="J60" s="6"/>
      <c r="K60" s="6"/>
    </row>
    <row r="61" spans="2:11" ht="15" customHeight="1" thickBot="1">
      <c r="B61" s="123" t="s">
        <v>49</v>
      </c>
      <c r="C61" s="124"/>
      <c r="D61" s="124"/>
      <c r="E61" s="125"/>
      <c r="G61" s="6"/>
      <c r="H61" s="6"/>
      <c r="I61" s="6"/>
      <c r="J61" s="6"/>
      <c r="K61" s="6"/>
    </row>
    <row r="62" spans="2:11" ht="24.75" thickBot="1">
      <c r="B62" s="47" t="s">
        <v>50</v>
      </c>
      <c r="C62" s="40" t="s">
        <v>51</v>
      </c>
      <c r="D62" s="40" t="s">
        <v>52</v>
      </c>
      <c r="E62" s="40" t="s">
        <v>53</v>
      </c>
      <c r="F62" s="6"/>
      <c r="G62" s="6"/>
      <c r="H62" s="6"/>
      <c r="I62" s="6"/>
      <c r="J62" s="6"/>
    </row>
    <row r="63" spans="2:11" ht="72.75" thickBot="1">
      <c r="B63" s="49">
        <v>42401</v>
      </c>
      <c r="C63" s="40">
        <v>1</v>
      </c>
      <c r="D63" s="40" t="s">
        <v>771</v>
      </c>
      <c r="E63" s="40"/>
      <c r="F63" s="6"/>
      <c r="G63" s="6"/>
      <c r="H63" s="6"/>
      <c r="I63" s="6"/>
      <c r="J63" s="6"/>
    </row>
    <row r="64" spans="2:11" ht="15.75" thickBot="1">
      <c r="B64" s="4"/>
      <c r="C64" s="94"/>
      <c r="D64" s="6"/>
      <c r="E64" s="6"/>
      <c r="F64" s="6"/>
      <c r="G64" s="6"/>
      <c r="H64" s="6"/>
      <c r="I64" s="6"/>
      <c r="J64" s="6"/>
      <c r="K64" s="6"/>
    </row>
    <row r="65" spans="2:11" ht="15.75" thickBot="1">
      <c r="B65" s="188" t="s">
        <v>55</v>
      </c>
      <c r="C65" s="95"/>
      <c r="D65" s="6"/>
      <c r="E65" s="6"/>
      <c r="F65" s="6"/>
      <c r="G65" s="6"/>
      <c r="H65" s="6"/>
      <c r="I65" s="6"/>
      <c r="J65" s="6"/>
      <c r="K65" s="6"/>
    </row>
    <row r="66" spans="2:11">
      <c r="B66" s="1590"/>
      <c r="C66" s="1591"/>
      <c r="D66" s="1591"/>
      <c r="E66" s="1592"/>
      <c r="F66" s="6"/>
      <c r="G66" s="6"/>
      <c r="H66" s="6"/>
      <c r="I66" s="6"/>
      <c r="J66" s="6"/>
      <c r="K66" s="6"/>
    </row>
    <row r="67" spans="2:11" ht="15.75" thickBot="1">
      <c r="B67" s="1593"/>
      <c r="C67" s="1594"/>
      <c r="D67" s="1594"/>
      <c r="E67" s="1595"/>
      <c r="F67" s="6"/>
      <c r="G67" s="6"/>
      <c r="H67" s="6"/>
      <c r="I67" s="6"/>
      <c r="J67" s="6"/>
      <c r="K67" s="6"/>
    </row>
    <row r="68" spans="2:11" ht="15.75" thickBot="1">
      <c r="B68" s="6"/>
      <c r="D68" s="6"/>
      <c r="E68" s="6"/>
      <c r="F68" s="6"/>
      <c r="G68" s="6"/>
      <c r="H68" s="6"/>
      <c r="I68" s="6"/>
      <c r="J68" s="6"/>
      <c r="K68" s="6"/>
    </row>
    <row r="69" spans="2:11" ht="15.75" thickBot="1">
      <c r="B69" s="1450" t="s">
        <v>56</v>
      </c>
      <c r="C69" s="1451"/>
      <c r="D69" s="1452"/>
      <c r="E69" s="6"/>
      <c r="F69" s="6"/>
      <c r="G69" s="6"/>
      <c r="H69" s="6"/>
      <c r="I69" s="6"/>
      <c r="J69" s="6"/>
      <c r="K69" s="6"/>
    </row>
    <row r="70" spans="2:11" ht="60.75" thickBot="1">
      <c r="B70" s="47" t="s">
        <v>57</v>
      </c>
      <c r="C70" s="3"/>
      <c r="D70" s="40" t="s">
        <v>703</v>
      </c>
      <c r="E70" s="6"/>
      <c r="F70" s="6"/>
      <c r="G70" s="6"/>
      <c r="H70" s="6"/>
      <c r="I70" s="6"/>
      <c r="J70" s="6"/>
      <c r="K70" s="6"/>
    </row>
    <row r="71" spans="2:11">
      <c r="B71" s="1447" t="s">
        <v>59</v>
      </c>
      <c r="C71" s="93"/>
      <c r="D71" s="53" t="s">
        <v>60</v>
      </c>
      <c r="E71" s="6"/>
      <c r="F71" s="6"/>
      <c r="G71" s="6"/>
      <c r="H71" s="6"/>
      <c r="I71" s="6"/>
      <c r="J71" s="6"/>
      <c r="K71" s="6"/>
    </row>
    <row r="72" spans="2:11" ht="96">
      <c r="B72" s="1448"/>
      <c r="C72" s="93"/>
      <c r="D72" s="46" t="s">
        <v>704</v>
      </c>
      <c r="E72" s="6"/>
      <c r="F72" s="6"/>
      <c r="G72" s="6"/>
      <c r="H72" s="6"/>
      <c r="I72" s="6"/>
      <c r="J72" s="6"/>
      <c r="K72" s="6"/>
    </row>
    <row r="73" spans="2:11">
      <c r="B73" s="1448"/>
      <c r="C73" s="93"/>
      <c r="D73" s="53" t="s">
        <v>63</v>
      </c>
      <c r="E73" s="6"/>
      <c r="F73" s="6"/>
      <c r="G73" s="6"/>
      <c r="H73" s="6"/>
      <c r="I73" s="6"/>
      <c r="J73" s="6"/>
      <c r="K73" s="6"/>
    </row>
    <row r="74" spans="2:11">
      <c r="B74" s="1448"/>
      <c r="C74" s="93"/>
      <c r="D74" s="46" t="s">
        <v>64</v>
      </c>
      <c r="E74" s="6"/>
      <c r="F74" s="6"/>
      <c r="G74" s="6"/>
      <c r="H74" s="6"/>
      <c r="I74" s="6"/>
      <c r="J74" s="6"/>
      <c r="K74" s="6"/>
    </row>
    <row r="75" spans="2:11">
      <c r="B75" s="1448"/>
      <c r="C75" s="93"/>
      <c r="D75" s="46" t="s">
        <v>705</v>
      </c>
      <c r="E75" s="6"/>
      <c r="F75" s="6"/>
      <c r="G75" s="6"/>
      <c r="H75" s="6"/>
      <c r="I75" s="6"/>
      <c r="J75" s="6"/>
      <c r="K75" s="6"/>
    </row>
    <row r="76" spans="2:11">
      <c r="B76" s="1448"/>
      <c r="C76" s="93"/>
      <c r="D76" s="46" t="s">
        <v>65</v>
      </c>
      <c r="E76" s="6"/>
      <c r="F76" s="6"/>
      <c r="G76" s="6"/>
      <c r="H76" s="6"/>
      <c r="I76" s="6"/>
      <c r="J76" s="6"/>
      <c r="K76" s="6"/>
    </row>
    <row r="77" spans="2:11">
      <c r="B77" s="1448"/>
      <c r="C77" s="93"/>
      <c r="D77" s="46" t="s">
        <v>706</v>
      </c>
      <c r="E77" s="6"/>
      <c r="F77" s="6"/>
      <c r="G77" s="6"/>
      <c r="H77" s="6"/>
      <c r="I77" s="6"/>
      <c r="J77" s="6"/>
      <c r="K77" s="6"/>
    </row>
    <row r="78" spans="2:11" ht="24">
      <c r="B78" s="1448"/>
      <c r="C78" s="93"/>
      <c r="D78" s="46" t="s">
        <v>707</v>
      </c>
      <c r="E78" s="6"/>
      <c r="F78" s="6"/>
      <c r="G78" s="6"/>
      <c r="H78" s="6"/>
      <c r="I78" s="6"/>
      <c r="J78" s="6"/>
      <c r="K78" s="6"/>
    </row>
    <row r="79" spans="2:11">
      <c r="B79" s="1448"/>
      <c r="C79" s="93"/>
      <c r="D79" s="53" t="s">
        <v>288</v>
      </c>
      <c r="E79" s="6"/>
      <c r="F79" s="6"/>
      <c r="G79" s="6"/>
      <c r="H79" s="6"/>
      <c r="I79" s="6"/>
      <c r="J79" s="6"/>
      <c r="K79" s="6"/>
    </row>
    <row r="80" spans="2:11">
      <c r="B80" s="1448"/>
      <c r="C80" s="93"/>
      <c r="D80" s="46" t="s">
        <v>355</v>
      </c>
      <c r="E80" s="6"/>
      <c r="F80" s="6"/>
      <c r="G80" s="6"/>
      <c r="H80" s="6"/>
      <c r="I80" s="6"/>
      <c r="J80" s="6"/>
      <c r="K80" s="6"/>
    </row>
    <row r="81" spans="2:11">
      <c r="B81" s="1448"/>
      <c r="C81" s="93"/>
      <c r="D81" s="46" t="s">
        <v>708</v>
      </c>
      <c r="E81" s="6"/>
      <c r="F81" s="6"/>
      <c r="G81" s="6"/>
      <c r="H81" s="6"/>
      <c r="I81" s="6"/>
      <c r="J81" s="6"/>
      <c r="K81" s="6"/>
    </row>
    <row r="82" spans="2:11" ht="24">
      <c r="B82" s="1448"/>
      <c r="C82" s="93"/>
      <c r="D82" s="46" t="s">
        <v>709</v>
      </c>
      <c r="E82" s="6"/>
      <c r="F82" s="6"/>
      <c r="G82" s="6"/>
      <c r="H82" s="6"/>
      <c r="I82" s="6"/>
      <c r="J82" s="6"/>
      <c r="K82" s="6"/>
    </row>
    <row r="83" spans="2:11" ht="24">
      <c r="B83" s="1448"/>
      <c r="C83" s="93"/>
      <c r="D83" s="46" t="s">
        <v>710</v>
      </c>
      <c r="E83" s="6"/>
      <c r="F83" s="6"/>
      <c r="G83" s="6"/>
      <c r="H83" s="6"/>
      <c r="I83" s="6"/>
      <c r="J83" s="6"/>
      <c r="K83" s="6"/>
    </row>
    <row r="84" spans="2:11" ht="36">
      <c r="B84" s="1448"/>
      <c r="C84" s="93"/>
      <c r="D84" s="46" t="s">
        <v>711</v>
      </c>
      <c r="E84" s="6"/>
      <c r="F84" s="6"/>
      <c r="G84" s="6"/>
      <c r="H84" s="6"/>
      <c r="I84" s="6"/>
      <c r="J84" s="6"/>
      <c r="K84" s="6"/>
    </row>
    <row r="85" spans="2:11">
      <c r="B85" s="1448"/>
      <c r="C85" s="93"/>
      <c r="D85" s="46" t="s">
        <v>712</v>
      </c>
      <c r="E85" s="6"/>
      <c r="F85" s="6"/>
      <c r="G85" s="6"/>
      <c r="H85" s="6"/>
      <c r="I85" s="6"/>
      <c r="J85" s="6"/>
      <c r="K85" s="6"/>
    </row>
    <row r="86" spans="2:11">
      <c r="B86" s="1448"/>
      <c r="C86" s="93"/>
      <c r="D86" s="46" t="s">
        <v>713</v>
      </c>
      <c r="E86" s="6"/>
      <c r="F86" s="6"/>
      <c r="G86" s="6"/>
      <c r="H86" s="6"/>
      <c r="I86" s="6"/>
      <c r="J86" s="6"/>
      <c r="K86" s="6"/>
    </row>
    <row r="87" spans="2:11" ht="15.75" thickBot="1">
      <c r="B87" s="1449"/>
      <c r="C87" s="3"/>
      <c r="D87" s="40" t="s">
        <v>714</v>
      </c>
      <c r="E87" s="6"/>
      <c r="F87" s="6"/>
      <c r="G87" s="6"/>
      <c r="H87" s="6"/>
      <c r="I87" s="6"/>
      <c r="J87" s="6"/>
      <c r="K87" s="6"/>
    </row>
    <row r="88" spans="2:11" ht="24.75" thickBot="1">
      <c r="B88" s="47" t="s">
        <v>72</v>
      </c>
      <c r="C88" s="3"/>
      <c r="D88" s="40"/>
      <c r="E88" s="6"/>
      <c r="F88" s="6"/>
      <c r="G88" s="6"/>
      <c r="H88" s="6"/>
      <c r="I88" s="6"/>
      <c r="J88" s="6"/>
      <c r="K88" s="6"/>
    </row>
    <row r="89" spans="2:11" ht="252">
      <c r="B89" s="1447" t="s">
        <v>73</v>
      </c>
      <c r="C89" s="93"/>
      <c r="D89" s="46" t="s">
        <v>715</v>
      </c>
      <c r="E89" s="6"/>
      <c r="F89" s="6"/>
      <c r="G89" s="6"/>
      <c r="H89" s="6"/>
      <c r="I89" s="6"/>
      <c r="J89" s="6"/>
      <c r="K89" s="6"/>
    </row>
    <row r="90" spans="2:11" ht="24">
      <c r="B90" s="1448"/>
      <c r="C90" s="93"/>
      <c r="D90" s="46" t="s">
        <v>716</v>
      </c>
      <c r="E90" s="6"/>
      <c r="F90" s="6"/>
      <c r="G90" s="6"/>
      <c r="H90" s="6"/>
      <c r="I90" s="6"/>
      <c r="J90" s="6"/>
      <c r="K90" s="6"/>
    </row>
    <row r="91" spans="2:11" ht="108">
      <c r="B91" s="1448"/>
      <c r="C91" s="93"/>
      <c r="D91" s="46" t="s">
        <v>717</v>
      </c>
      <c r="E91" s="6"/>
      <c r="F91" s="6"/>
      <c r="G91" s="6"/>
      <c r="H91" s="6"/>
      <c r="I91" s="6"/>
      <c r="J91" s="6"/>
      <c r="K91" s="6"/>
    </row>
    <row r="92" spans="2:11" ht="384">
      <c r="B92" s="1448"/>
      <c r="C92" s="93"/>
      <c r="D92" s="46" t="s">
        <v>718</v>
      </c>
      <c r="E92" s="6"/>
      <c r="F92" s="6"/>
      <c r="G92" s="6"/>
      <c r="H92" s="6"/>
      <c r="I92" s="6"/>
      <c r="J92" s="6"/>
      <c r="K92" s="6"/>
    </row>
    <row r="93" spans="2:11" ht="192">
      <c r="B93" s="1448"/>
      <c r="C93" s="93"/>
      <c r="D93" s="46" t="s">
        <v>719</v>
      </c>
      <c r="E93" s="6"/>
      <c r="F93" s="6"/>
      <c r="G93" s="6"/>
      <c r="H93" s="6"/>
      <c r="I93" s="6"/>
      <c r="J93" s="6"/>
      <c r="K93" s="6"/>
    </row>
    <row r="94" spans="2:11" ht="72">
      <c r="B94" s="1448"/>
      <c r="C94" s="93"/>
      <c r="D94" s="46" t="s">
        <v>720</v>
      </c>
      <c r="E94" s="6"/>
      <c r="F94" s="6"/>
      <c r="G94" s="6"/>
      <c r="H94" s="6"/>
      <c r="I94" s="6"/>
      <c r="J94" s="6"/>
      <c r="K94" s="6"/>
    </row>
    <row r="95" spans="2:11" ht="24">
      <c r="B95" s="1448"/>
      <c r="C95" s="93"/>
      <c r="D95" s="46" t="s">
        <v>721</v>
      </c>
      <c r="E95" s="6"/>
      <c r="F95" s="6"/>
      <c r="G95" s="6"/>
      <c r="H95" s="6"/>
      <c r="I95" s="6"/>
      <c r="J95" s="6"/>
      <c r="K95" s="6"/>
    </row>
    <row r="96" spans="2:11" ht="24">
      <c r="B96" s="1448"/>
      <c r="C96" s="93"/>
      <c r="D96" s="46" t="s">
        <v>722</v>
      </c>
      <c r="E96" s="6"/>
      <c r="F96" s="6"/>
      <c r="G96" s="6"/>
      <c r="H96" s="6"/>
      <c r="I96" s="6"/>
      <c r="J96" s="6"/>
      <c r="K96" s="6"/>
    </row>
    <row r="97" spans="2:11" ht="24">
      <c r="B97" s="1448"/>
      <c r="C97" s="93"/>
      <c r="D97" s="46" t="s">
        <v>723</v>
      </c>
      <c r="E97" s="6"/>
      <c r="F97" s="6"/>
      <c r="G97" s="6"/>
      <c r="H97" s="6"/>
      <c r="I97" s="6"/>
      <c r="J97" s="6"/>
      <c r="K97" s="6"/>
    </row>
    <row r="98" spans="2:11" ht="84">
      <c r="B98" s="1448"/>
      <c r="C98" s="93"/>
      <c r="D98" s="46" t="s">
        <v>724</v>
      </c>
      <c r="E98" s="6"/>
      <c r="F98" s="6"/>
      <c r="G98" s="6"/>
      <c r="H98" s="6"/>
      <c r="I98" s="6"/>
      <c r="J98" s="6"/>
      <c r="K98" s="6"/>
    </row>
    <row r="99" spans="2:11" ht="24">
      <c r="B99" s="1448"/>
      <c r="C99" s="93"/>
      <c r="D99" s="46" t="s">
        <v>725</v>
      </c>
      <c r="E99" s="6"/>
      <c r="F99" s="6"/>
      <c r="G99" s="6"/>
      <c r="H99" s="6"/>
      <c r="I99" s="6"/>
      <c r="J99" s="6"/>
      <c r="K99" s="6"/>
    </row>
    <row r="100" spans="2:11" ht="24">
      <c r="B100" s="1448"/>
      <c r="C100" s="93"/>
      <c r="D100" s="46" t="s">
        <v>726</v>
      </c>
      <c r="E100" s="6"/>
      <c r="F100" s="6"/>
      <c r="G100" s="6"/>
      <c r="H100" s="6"/>
      <c r="I100" s="6"/>
      <c r="J100" s="6"/>
      <c r="K100" s="6"/>
    </row>
    <row r="101" spans="2:11">
      <c r="B101" s="1448"/>
      <c r="C101" s="93"/>
      <c r="D101" s="46" t="s">
        <v>727</v>
      </c>
      <c r="E101" s="6"/>
      <c r="F101" s="6"/>
      <c r="G101" s="6"/>
      <c r="H101" s="6"/>
      <c r="I101" s="6"/>
      <c r="J101" s="6"/>
      <c r="K101" s="6"/>
    </row>
    <row r="102" spans="2:11" ht="24">
      <c r="B102" s="1448"/>
      <c r="C102" s="93"/>
      <c r="D102" s="46" t="s">
        <v>728</v>
      </c>
      <c r="E102" s="6"/>
      <c r="F102" s="6"/>
      <c r="G102" s="6"/>
      <c r="H102" s="6"/>
      <c r="I102" s="6"/>
      <c r="J102" s="6"/>
      <c r="K102" s="6"/>
    </row>
    <row r="103" spans="2:11" ht="36">
      <c r="B103" s="1448"/>
      <c r="C103" s="93"/>
      <c r="D103" s="46" t="s">
        <v>729</v>
      </c>
      <c r="E103" s="6"/>
      <c r="F103" s="6"/>
      <c r="G103" s="6"/>
      <c r="H103" s="6"/>
      <c r="I103" s="6"/>
      <c r="J103" s="6"/>
      <c r="K103" s="6"/>
    </row>
    <row r="104" spans="2:11" ht="24">
      <c r="B104" s="1448"/>
      <c r="C104" s="93"/>
      <c r="D104" s="46" t="s">
        <v>730</v>
      </c>
      <c r="E104" s="6"/>
      <c r="F104" s="6"/>
      <c r="G104" s="6"/>
      <c r="H104" s="6"/>
      <c r="I104" s="6"/>
      <c r="J104" s="6"/>
      <c r="K104" s="6"/>
    </row>
    <row r="105" spans="2:11" ht="24">
      <c r="B105" s="1448"/>
      <c r="C105" s="93"/>
      <c r="D105" s="46" t="s">
        <v>731</v>
      </c>
      <c r="E105" s="6"/>
      <c r="F105" s="6"/>
      <c r="G105" s="6"/>
      <c r="H105" s="6"/>
      <c r="I105" s="6"/>
      <c r="J105" s="6"/>
      <c r="K105" s="6"/>
    </row>
    <row r="106" spans="2:11" ht="72">
      <c r="B106" s="1448"/>
      <c r="C106" s="93"/>
      <c r="D106" s="46" t="s">
        <v>732</v>
      </c>
      <c r="E106" s="6"/>
      <c r="F106" s="6"/>
      <c r="G106" s="6"/>
      <c r="H106" s="6"/>
      <c r="I106" s="6"/>
      <c r="J106" s="6"/>
      <c r="K106" s="6"/>
    </row>
    <row r="107" spans="2:11" ht="48">
      <c r="B107" s="1448"/>
      <c r="C107" s="93"/>
      <c r="D107" s="46" t="s">
        <v>733</v>
      </c>
      <c r="E107" s="6"/>
      <c r="F107" s="6"/>
      <c r="G107" s="6"/>
      <c r="H107" s="6"/>
      <c r="I107" s="6"/>
      <c r="J107" s="6"/>
      <c r="K107" s="6"/>
    </row>
    <row r="108" spans="2:11" ht="48">
      <c r="B108" s="1448"/>
      <c r="C108" s="93"/>
      <c r="D108" s="46" t="s">
        <v>734</v>
      </c>
      <c r="E108" s="6"/>
      <c r="F108" s="6"/>
      <c r="G108" s="6"/>
      <c r="H108" s="6"/>
      <c r="I108" s="6"/>
      <c r="J108" s="6"/>
      <c r="K108" s="6"/>
    </row>
    <row r="109" spans="2:11" ht="36">
      <c r="B109" s="1448"/>
      <c r="C109" s="93"/>
      <c r="D109" s="46" t="s">
        <v>735</v>
      </c>
      <c r="E109" s="6"/>
      <c r="F109" s="6"/>
      <c r="G109" s="6"/>
      <c r="H109" s="6"/>
      <c r="I109" s="6"/>
      <c r="J109" s="6"/>
      <c r="K109" s="6"/>
    </row>
    <row r="110" spans="2:11" ht="24">
      <c r="B110" s="1448"/>
      <c r="C110" s="93"/>
      <c r="D110" s="46" t="s">
        <v>736</v>
      </c>
      <c r="E110" s="6"/>
      <c r="F110" s="6"/>
      <c r="G110" s="6"/>
      <c r="H110" s="6"/>
      <c r="I110" s="6"/>
      <c r="J110" s="6"/>
      <c r="K110" s="6"/>
    </row>
    <row r="111" spans="2:11" ht="36">
      <c r="B111" s="1448"/>
      <c r="C111" s="93"/>
      <c r="D111" s="46" t="s">
        <v>737</v>
      </c>
      <c r="E111" s="6"/>
      <c r="F111" s="6"/>
      <c r="G111" s="6"/>
      <c r="H111" s="6"/>
      <c r="I111" s="6"/>
      <c r="J111" s="6"/>
      <c r="K111" s="6"/>
    </row>
    <row r="112" spans="2:11" ht="24">
      <c r="B112" s="1448"/>
      <c r="C112" s="93"/>
      <c r="D112" s="46" t="s">
        <v>738</v>
      </c>
      <c r="E112" s="6"/>
      <c r="F112" s="6"/>
      <c r="G112" s="6"/>
      <c r="H112" s="6"/>
      <c r="I112" s="6"/>
      <c r="J112" s="6"/>
      <c r="K112" s="6"/>
    </row>
    <row r="113" spans="2:11" ht="36">
      <c r="B113" s="1448"/>
      <c r="C113" s="93"/>
      <c r="D113" s="46" t="s">
        <v>739</v>
      </c>
      <c r="E113" s="6"/>
      <c r="F113" s="6"/>
      <c r="G113" s="6"/>
      <c r="H113" s="6"/>
      <c r="I113" s="6"/>
      <c r="J113" s="6"/>
      <c r="K113" s="6"/>
    </row>
    <row r="114" spans="2:11" ht="36">
      <c r="B114" s="1448"/>
      <c r="C114" s="93"/>
      <c r="D114" s="46" t="s">
        <v>740</v>
      </c>
      <c r="E114" s="6"/>
      <c r="F114" s="6"/>
      <c r="G114" s="6"/>
      <c r="H114" s="6"/>
      <c r="I114" s="6"/>
      <c r="J114" s="6"/>
      <c r="K114" s="6"/>
    </row>
    <row r="115" spans="2:11" ht="36">
      <c r="B115" s="1448"/>
      <c r="C115" s="93"/>
      <c r="D115" s="46" t="s">
        <v>741</v>
      </c>
      <c r="E115" s="6"/>
      <c r="F115" s="6"/>
      <c r="G115" s="6"/>
      <c r="H115" s="6"/>
      <c r="I115" s="6"/>
      <c r="J115" s="6"/>
      <c r="K115" s="6"/>
    </row>
    <row r="116" spans="2:11" ht="60">
      <c r="B116" s="1448"/>
      <c r="C116" s="93"/>
      <c r="D116" s="46" t="s">
        <v>742</v>
      </c>
      <c r="E116" s="6"/>
      <c r="F116" s="6"/>
      <c r="G116" s="6"/>
      <c r="H116" s="6"/>
      <c r="I116" s="6"/>
      <c r="J116" s="6"/>
      <c r="K116" s="6"/>
    </row>
    <row r="117" spans="2:11" ht="48">
      <c r="B117" s="1448"/>
      <c r="C117" s="93"/>
      <c r="D117" s="46" t="s">
        <v>743</v>
      </c>
      <c r="E117" s="6"/>
      <c r="F117" s="6"/>
      <c r="G117" s="6"/>
      <c r="H117" s="6"/>
      <c r="I117" s="6"/>
      <c r="J117" s="6"/>
      <c r="K117" s="6"/>
    </row>
    <row r="118" spans="2:11" ht="24">
      <c r="B118" s="1448"/>
      <c r="C118" s="93"/>
      <c r="D118" s="46" t="s">
        <v>744</v>
      </c>
      <c r="E118" s="6"/>
      <c r="F118" s="6"/>
      <c r="G118" s="6"/>
      <c r="H118" s="6"/>
      <c r="I118" s="6"/>
      <c r="J118" s="6"/>
      <c r="K118" s="6"/>
    </row>
    <row r="119" spans="2:11" ht="24">
      <c r="B119" s="1448"/>
      <c r="C119" s="93"/>
      <c r="D119" s="46" t="s">
        <v>745</v>
      </c>
      <c r="E119" s="6"/>
      <c r="F119" s="6"/>
      <c r="G119" s="6"/>
      <c r="H119" s="6"/>
      <c r="I119" s="6"/>
      <c r="J119" s="6"/>
      <c r="K119" s="6"/>
    </row>
    <row r="120" spans="2:11" ht="24">
      <c r="B120" s="1448"/>
      <c r="C120" s="93"/>
      <c r="D120" s="46" t="s">
        <v>746</v>
      </c>
      <c r="E120" s="6"/>
      <c r="F120" s="6"/>
      <c r="G120" s="6"/>
      <c r="H120" s="6"/>
      <c r="I120" s="6"/>
      <c r="J120" s="6"/>
      <c r="K120" s="6"/>
    </row>
    <row r="121" spans="2:11" ht="24">
      <c r="B121" s="1448"/>
      <c r="C121" s="93"/>
      <c r="D121" s="46" t="s">
        <v>747</v>
      </c>
      <c r="E121" s="6"/>
      <c r="F121" s="6"/>
      <c r="G121" s="6"/>
      <c r="H121" s="6"/>
      <c r="I121" s="6"/>
      <c r="J121" s="6"/>
      <c r="K121" s="6"/>
    </row>
    <row r="122" spans="2:11" ht="48">
      <c r="B122" s="1448"/>
      <c r="C122" s="93"/>
      <c r="D122" s="46" t="s">
        <v>748</v>
      </c>
      <c r="E122" s="6"/>
      <c r="F122" s="6"/>
      <c r="G122" s="6"/>
      <c r="H122" s="6"/>
      <c r="I122" s="6"/>
      <c r="J122" s="6"/>
      <c r="K122" s="6"/>
    </row>
    <row r="123" spans="2:11" ht="24">
      <c r="B123" s="1448"/>
      <c r="C123" s="93"/>
      <c r="D123" s="46" t="s">
        <v>749</v>
      </c>
      <c r="E123" s="6"/>
      <c r="F123" s="6"/>
      <c r="G123" s="6"/>
      <c r="H123" s="6"/>
      <c r="I123" s="6"/>
      <c r="J123" s="6"/>
      <c r="K123" s="6"/>
    </row>
    <row r="124" spans="2:11" ht="36.75" thickBot="1">
      <c r="B124" s="1449"/>
      <c r="C124" s="3"/>
      <c r="D124" s="40" t="s">
        <v>750</v>
      </c>
      <c r="E124" s="6"/>
      <c r="F124" s="6"/>
      <c r="G124" s="6"/>
      <c r="H124" s="6"/>
      <c r="I124" s="6"/>
      <c r="J124" s="6"/>
      <c r="K124" s="6"/>
    </row>
    <row r="125" spans="2:11" ht="24">
      <c r="B125" s="1447" t="s">
        <v>90</v>
      </c>
      <c r="C125" s="93"/>
      <c r="D125" s="53" t="s">
        <v>751</v>
      </c>
      <c r="E125" s="6"/>
      <c r="F125" s="6"/>
      <c r="G125" s="6"/>
      <c r="H125" s="6"/>
      <c r="I125" s="6"/>
      <c r="J125" s="6"/>
      <c r="K125" s="6"/>
    </row>
    <row r="126" spans="2:11" ht="25.35" customHeight="1">
      <c r="B126" s="1448"/>
      <c r="C126" s="93"/>
      <c r="D126" s="46" t="s">
        <v>248</v>
      </c>
      <c r="E126" s="6"/>
      <c r="F126" s="6"/>
      <c r="G126" s="6"/>
      <c r="H126" s="6"/>
      <c r="I126" s="6"/>
      <c r="J126" s="6"/>
      <c r="K126" s="6"/>
    </row>
    <row r="127" spans="2:11">
      <c r="B127" s="1448"/>
      <c r="C127" s="93"/>
      <c r="D127" s="46" t="s">
        <v>91</v>
      </c>
      <c r="E127" s="6"/>
      <c r="F127" s="6"/>
      <c r="G127" s="6"/>
      <c r="H127" s="6"/>
      <c r="I127" s="6"/>
      <c r="J127" s="6"/>
      <c r="K127" s="6"/>
    </row>
    <row r="128" spans="2:11" ht="37.5">
      <c r="B128" s="1448"/>
      <c r="C128" s="93"/>
      <c r="D128" s="46" t="s">
        <v>752</v>
      </c>
      <c r="E128" s="6"/>
      <c r="F128" s="6"/>
      <c r="G128" s="6"/>
      <c r="H128" s="6"/>
      <c r="I128" s="6"/>
      <c r="J128" s="6"/>
      <c r="K128" s="6"/>
    </row>
    <row r="129" spans="2:11" ht="37.5">
      <c r="B129" s="1448"/>
      <c r="C129" s="93"/>
      <c r="D129" s="46" t="s">
        <v>753</v>
      </c>
      <c r="E129" s="6"/>
      <c r="F129" s="6"/>
      <c r="G129" s="6"/>
      <c r="H129" s="6"/>
      <c r="I129" s="6"/>
      <c r="J129" s="6"/>
      <c r="K129" s="6"/>
    </row>
    <row r="130" spans="2:11" ht="37.5">
      <c r="B130" s="1448"/>
      <c r="C130" s="93"/>
      <c r="D130" s="46" t="s">
        <v>754</v>
      </c>
      <c r="E130" s="6"/>
      <c r="F130" s="6"/>
      <c r="G130" s="6"/>
      <c r="H130" s="6"/>
      <c r="I130" s="6"/>
      <c r="J130" s="6"/>
      <c r="K130" s="6"/>
    </row>
    <row r="131" spans="2:11" ht="37.5">
      <c r="B131" s="1448"/>
      <c r="C131" s="93"/>
      <c r="D131" s="46" t="s">
        <v>755</v>
      </c>
      <c r="E131" s="6"/>
      <c r="F131" s="6"/>
      <c r="G131" s="6"/>
      <c r="H131" s="6"/>
      <c r="I131" s="6"/>
      <c r="J131" s="6"/>
      <c r="K131" s="6"/>
    </row>
    <row r="132" spans="2:11">
      <c r="B132" s="1448"/>
      <c r="C132" s="93"/>
      <c r="D132" s="46" t="s">
        <v>756</v>
      </c>
      <c r="E132" s="6"/>
      <c r="F132" s="6"/>
      <c r="G132" s="6"/>
      <c r="H132" s="6"/>
      <c r="I132" s="6"/>
      <c r="J132" s="6"/>
      <c r="K132" s="6"/>
    </row>
    <row r="133" spans="2:11">
      <c r="B133" s="1448"/>
      <c r="C133" s="93"/>
      <c r="D133" s="46" t="s">
        <v>757</v>
      </c>
      <c r="E133" s="6"/>
      <c r="F133" s="6"/>
      <c r="G133" s="6"/>
      <c r="H133" s="6"/>
      <c r="I133" s="6"/>
      <c r="J133" s="6"/>
      <c r="K133" s="6"/>
    </row>
    <row r="134" spans="2:11">
      <c r="B134" s="1448"/>
      <c r="C134" s="93"/>
      <c r="D134" s="46" t="s">
        <v>758</v>
      </c>
      <c r="E134" s="6"/>
      <c r="F134" s="6"/>
      <c r="G134" s="6"/>
      <c r="H134" s="6"/>
      <c r="I134" s="6"/>
      <c r="J134" s="6"/>
      <c r="K134" s="6"/>
    </row>
    <row r="135" spans="2:11">
      <c r="B135" s="1448"/>
      <c r="C135" s="93"/>
      <c r="D135" s="46" t="s">
        <v>759</v>
      </c>
      <c r="E135" s="6"/>
      <c r="F135" s="6"/>
      <c r="G135" s="6"/>
      <c r="H135" s="6"/>
      <c r="I135" s="6"/>
      <c r="J135" s="6"/>
      <c r="K135" s="6"/>
    </row>
    <row r="136" spans="2:11" ht="84">
      <c r="B136" s="1448"/>
      <c r="C136" s="93"/>
      <c r="D136" s="54" t="s">
        <v>235</v>
      </c>
      <c r="E136" s="6"/>
      <c r="F136" s="6"/>
      <c r="G136" s="6"/>
      <c r="H136" s="6"/>
      <c r="I136" s="6"/>
      <c r="J136" s="6"/>
      <c r="K136" s="6"/>
    </row>
    <row r="137" spans="2:11">
      <c r="B137" s="1448"/>
      <c r="C137" s="93"/>
      <c r="D137" s="57" t="s">
        <v>246</v>
      </c>
      <c r="E137" s="6"/>
      <c r="F137" s="6"/>
      <c r="G137" s="6"/>
      <c r="H137" s="6"/>
      <c r="I137" s="6"/>
      <c r="J137" s="6"/>
      <c r="K137" s="6"/>
    </row>
    <row r="138" spans="2:11" ht="24">
      <c r="B138" s="1448"/>
      <c r="C138" s="93"/>
      <c r="D138" s="53" t="s">
        <v>760</v>
      </c>
      <c r="E138" s="6"/>
      <c r="F138" s="6"/>
      <c r="G138" s="6"/>
      <c r="H138" s="6"/>
      <c r="I138" s="6"/>
      <c r="J138" s="6"/>
      <c r="K138" s="6"/>
    </row>
    <row r="139" spans="2:11" ht="23.1" customHeight="1">
      <c r="B139" s="1448"/>
      <c r="C139" s="93"/>
      <c r="D139" s="46" t="s">
        <v>248</v>
      </c>
      <c r="E139" s="6"/>
      <c r="F139" s="6"/>
      <c r="G139" s="6"/>
      <c r="H139" s="6"/>
      <c r="I139" s="6"/>
      <c r="J139" s="6"/>
      <c r="K139" s="6"/>
    </row>
    <row r="140" spans="2:11">
      <c r="B140" s="1448"/>
      <c r="C140" s="93"/>
      <c r="D140" s="46" t="s">
        <v>91</v>
      </c>
      <c r="E140" s="6"/>
      <c r="F140" s="6"/>
      <c r="G140" s="6"/>
      <c r="H140" s="6"/>
      <c r="I140" s="6"/>
      <c r="J140" s="6"/>
      <c r="K140" s="6"/>
    </row>
    <row r="141" spans="2:11" ht="37.5">
      <c r="B141" s="1448"/>
      <c r="C141" s="93"/>
      <c r="D141" s="46" t="s">
        <v>761</v>
      </c>
      <c r="E141" s="6"/>
      <c r="F141" s="6"/>
      <c r="G141" s="6"/>
      <c r="H141" s="6"/>
      <c r="I141" s="6"/>
      <c r="J141" s="6"/>
      <c r="K141" s="6"/>
    </row>
    <row r="142" spans="2:11" ht="37.5">
      <c r="B142" s="1448"/>
      <c r="C142" s="93"/>
      <c r="D142" s="46" t="s">
        <v>762</v>
      </c>
      <c r="E142" s="6"/>
      <c r="F142" s="6"/>
      <c r="G142" s="6"/>
      <c r="H142" s="6"/>
      <c r="I142" s="6"/>
      <c r="J142" s="6"/>
      <c r="K142" s="6"/>
    </row>
    <row r="143" spans="2:11" ht="38.25" thickBot="1">
      <c r="B143" s="1449"/>
      <c r="C143" s="3"/>
      <c r="D143" s="40" t="s">
        <v>763</v>
      </c>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sheetData>
  <sheetProtection insertColumns="0" insertRows="0"/>
  <mergeCells count="36">
    <mergeCell ref="A1:P1"/>
    <mergeCell ref="A2:P2"/>
    <mergeCell ref="A3:P3"/>
    <mergeCell ref="A4:D4"/>
    <mergeCell ref="A5:P5"/>
    <mergeCell ref="B15:B19"/>
    <mergeCell ref="B43:E43"/>
    <mergeCell ref="B44:B50"/>
    <mergeCell ref="B52:E52"/>
    <mergeCell ref="B53:B59"/>
    <mergeCell ref="D15:L15"/>
    <mergeCell ref="D16:L16"/>
    <mergeCell ref="D19:L19"/>
    <mergeCell ref="D20:L20"/>
    <mergeCell ref="D31:L31"/>
    <mergeCell ref="D32:L32"/>
    <mergeCell ref="D33:L33"/>
    <mergeCell ref="D38:L38"/>
    <mergeCell ref="E21:E22"/>
    <mergeCell ref="F21:J21"/>
    <mergeCell ref="C34:C35"/>
    <mergeCell ref="D34:D35"/>
    <mergeCell ref="E34:E35"/>
    <mergeCell ref="F34:K34"/>
    <mergeCell ref="C21:C22"/>
    <mergeCell ref="D21:D22"/>
    <mergeCell ref="B66:E67"/>
    <mergeCell ref="B69:D69"/>
    <mergeCell ref="B71:B87"/>
    <mergeCell ref="B89:B124"/>
    <mergeCell ref="B125:B143"/>
    <mergeCell ref="B10:D10"/>
    <mergeCell ref="F10:R10"/>
    <mergeCell ref="F11:R11"/>
    <mergeCell ref="E12:R12"/>
    <mergeCell ref="E13:R13"/>
  </mergeCells>
  <conditionalFormatting sqref="H30">
    <cfRule type="containsText" dxfId="61" priority="7" operator="containsText" text="ERROR">
      <formula>NOT(ISERROR(SEARCH("ERROR",H30)))</formula>
    </cfRule>
  </conditionalFormatting>
  <conditionalFormatting sqref="F11:R11">
    <cfRule type="expression" dxfId="60" priority="4">
      <formula>E11="NO SE REPORTA"</formula>
    </cfRule>
    <cfRule type="expression" dxfId="59" priority="5">
      <formula>E10="NO APLICA"</formula>
    </cfRule>
  </conditionalFormatting>
  <conditionalFormatting sqref="E12:R12">
    <cfRule type="expression" dxfId="58" priority="3">
      <formula>E11="SI SE REPORTA"</formula>
    </cfRule>
  </conditionalFormatting>
  <conditionalFormatting sqref="F10:R10">
    <cfRule type="expression" dxfId="57" priority="1">
      <formula>E10="NO SE REPORTA"</formula>
    </cfRule>
    <cfRule type="expression" dxfId="56" priority="2">
      <formula>E9="NO APLICA"</formula>
    </cfRule>
  </conditionalFormatting>
  <dataValidations count="6">
    <dataValidation type="whole" operator="greaterThanOrEqual" allowBlank="1" showErrorMessage="1" errorTitle="ERROR" error="Escriba un número igual o mayor que 0" promptTitle="ERROR" prompt="Escriba un número igual o mayor que 0" sqref="E18:H18">
      <formula1>0</formula1>
    </dataValidation>
    <dataValidation type="whole" operator="greaterThanOrEqual" allowBlank="1" showInputMessage="1" showErrorMessage="1" errorTitle="ERROR" error="Valor en PESOS (sin centavos)" sqref="F36:I36">
      <formula1>0</formula1>
    </dataValidation>
    <dataValidation type="decimal" allowBlank="1" showInputMessage="1" showErrorMessage="1" errorTitle="ERROR" error="Escriba un valor entre 0% y 100%" sqref="F23:H29">
      <formula1>0</formula1>
      <formula2>1</formula2>
    </dataValidation>
    <dataValidation allowBlank="1" showInputMessage="1" showErrorMessage="1" sqref="G37:I37 I23:I30 H30 J36:K37"/>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T180"/>
  <sheetViews>
    <sheetView showGridLines="0" topLeftCell="A7" zoomScale="98" zoomScaleNormal="98" workbookViewId="0">
      <selection activeCell="A7" sqref="A7"/>
    </sheetView>
  </sheetViews>
  <sheetFormatPr baseColWidth="10" defaultRowHeight="15"/>
  <cols>
    <col min="1" max="1" width="1.85546875" customWidth="1"/>
    <col min="2" max="2" width="10.85546875" customWidth="1"/>
    <col min="3" max="3" width="5" style="86" bestFit="1" customWidth="1"/>
    <col min="4" max="4" width="34.85546875" customWidth="1"/>
    <col min="5" max="5" width="18.140625" customWidth="1"/>
    <col min="8" max="8" width="12.85546875" bestFit="1" customWidth="1"/>
  </cols>
  <sheetData>
    <row r="1" spans="1:20" s="490" customFormat="1" ht="100.5" customHeight="1" thickBot="1">
      <c r="A1" s="1334"/>
      <c r="B1" s="1335"/>
      <c r="C1" s="1335"/>
      <c r="D1" s="1335"/>
      <c r="E1" s="1335"/>
      <c r="F1" s="1335"/>
      <c r="G1" s="1335"/>
      <c r="H1" s="1335"/>
      <c r="I1" s="1335"/>
      <c r="J1" s="1335"/>
      <c r="K1" s="1335"/>
      <c r="L1" s="1335"/>
      <c r="M1" s="1335"/>
      <c r="N1" s="1335"/>
      <c r="O1" s="1335"/>
      <c r="P1" s="1336"/>
      <c r="Q1" s="389"/>
      <c r="R1" s="389"/>
    </row>
    <row r="2" spans="1:20" s="491" customFormat="1" ht="16.5" thickBot="1">
      <c r="A2" s="1342" t="str">
        <f>'Datos Generales'!C5</f>
        <v>Corporación Autónoma Regional del Cesar – CORPOCESAR</v>
      </c>
      <c r="B2" s="1343"/>
      <c r="C2" s="1343"/>
      <c r="D2" s="1343"/>
      <c r="E2" s="1343"/>
      <c r="F2" s="1343"/>
      <c r="G2" s="1343"/>
      <c r="H2" s="1343"/>
      <c r="I2" s="1343"/>
      <c r="J2" s="1343"/>
      <c r="K2" s="1343"/>
      <c r="L2" s="1343"/>
      <c r="M2" s="1343"/>
      <c r="N2" s="1343"/>
      <c r="O2" s="1343"/>
      <c r="P2" s="1344"/>
      <c r="Q2" s="389"/>
      <c r="R2" s="389"/>
    </row>
    <row r="3" spans="1:20" s="491" customFormat="1" ht="16.5" thickBot="1">
      <c r="A3" s="1337" t="s">
        <v>1294</v>
      </c>
      <c r="B3" s="1338"/>
      <c r="C3" s="1338"/>
      <c r="D3" s="1338"/>
      <c r="E3" s="1338"/>
      <c r="F3" s="1338"/>
      <c r="G3" s="1338"/>
      <c r="H3" s="1338"/>
      <c r="I3" s="1338"/>
      <c r="J3" s="1338"/>
      <c r="K3" s="1338"/>
      <c r="L3" s="1338"/>
      <c r="M3" s="1338"/>
      <c r="N3" s="1338"/>
      <c r="O3" s="1338"/>
      <c r="P3" s="1339"/>
      <c r="Q3" s="389"/>
      <c r="R3" s="389"/>
    </row>
    <row r="4" spans="1:20" s="491" customFormat="1" ht="16.5" thickBot="1">
      <c r="A4" s="1340" t="s">
        <v>1293</v>
      </c>
      <c r="B4" s="1341"/>
      <c r="C4" s="1341"/>
      <c r="D4" s="1341"/>
      <c r="E4" s="498">
        <v>2022</v>
      </c>
      <c r="F4" s="498"/>
      <c r="G4" s="498"/>
      <c r="H4" s="498"/>
      <c r="I4" s="498"/>
      <c r="J4" s="498"/>
      <c r="K4" s="498"/>
      <c r="L4" s="499"/>
      <c r="M4" s="499"/>
      <c r="N4" s="499"/>
      <c r="O4" s="499"/>
      <c r="P4" s="500"/>
      <c r="Q4" s="389"/>
      <c r="R4" s="389"/>
    </row>
    <row r="5" spans="1:20" s="235" customFormat="1" ht="16.5" customHeight="1" thickBot="1">
      <c r="A5" s="1337" t="s">
        <v>772</v>
      </c>
      <c r="B5" s="1338"/>
      <c r="C5" s="1338"/>
      <c r="D5" s="1338"/>
      <c r="E5" s="1338"/>
      <c r="F5" s="1338"/>
      <c r="G5" s="1338"/>
      <c r="H5" s="1338"/>
      <c r="I5" s="1338"/>
      <c r="J5" s="1338"/>
      <c r="K5" s="1338"/>
      <c r="L5" s="1338"/>
      <c r="M5" s="1338"/>
      <c r="N5" s="1338"/>
      <c r="O5" s="1338"/>
      <c r="P5" s="1339"/>
    </row>
    <row r="6" spans="1:20">
      <c r="B6" s="2" t="s">
        <v>1</v>
      </c>
      <c r="C6" s="75"/>
      <c r="D6" s="6"/>
      <c r="E6" s="73"/>
      <c r="F6" s="6" t="s">
        <v>128</v>
      </c>
      <c r="G6" s="6"/>
      <c r="H6" s="6"/>
      <c r="I6" s="6"/>
      <c r="J6" s="6"/>
      <c r="K6" s="6"/>
    </row>
    <row r="7" spans="1:20" ht="15.75" thickBot="1">
      <c r="B7" s="74"/>
      <c r="C7" s="76"/>
      <c r="D7" s="6"/>
      <c r="E7" s="18"/>
      <c r="F7" s="6" t="s">
        <v>129</v>
      </c>
      <c r="G7" s="6"/>
      <c r="H7" s="6"/>
      <c r="I7" s="6"/>
      <c r="J7" s="6"/>
      <c r="K7" s="6"/>
    </row>
    <row r="8" spans="1:20" ht="15.75" thickBot="1">
      <c r="B8" s="170" t="s">
        <v>1181</v>
      </c>
      <c r="C8" s="213">
        <v>2022</v>
      </c>
      <c r="D8" s="218">
        <f>IF(E10="NO APLICA","NO APLICA",IF(E11="NO SE REPORTA","SIN INFORMACION",+E42))</f>
        <v>0.64999999999999991</v>
      </c>
      <c r="E8" s="214"/>
      <c r="F8" s="6" t="s">
        <v>130</v>
      </c>
      <c r="G8" s="6"/>
      <c r="H8" s="6"/>
      <c r="I8" s="6"/>
      <c r="J8" s="6"/>
      <c r="K8" s="6"/>
    </row>
    <row r="9" spans="1:20">
      <c r="B9" s="462" t="s">
        <v>1182</v>
      </c>
      <c r="D9" s="6"/>
      <c r="E9" s="6"/>
      <c r="F9" s="6"/>
      <c r="G9" s="6"/>
      <c r="H9" s="6"/>
      <c r="I9" s="6"/>
      <c r="J9" s="6"/>
      <c r="K9" s="6"/>
    </row>
    <row r="10" spans="1:20" s="389" customFormat="1">
      <c r="A10" s="235"/>
      <c r="B10" s="1392" t="s">
        <v>1236</v>
      </c>
      <c r="C10" s="1392"/>
      <c r="D10" s="1392"/>
      <c r="E10" s="468" t="s">
        <v>1233</v>
      </c>
      <c r="F10" s="1412" t="str">
        <f>'19GAU'!F10</f>
        <v>Acuerdo 005 del 22 de mayo de 2020 (Por medio del cual se aprueba el Plan de Accion Institucional 2020 -2023)</v>
      </c>
      <c r="G10" s="1412"/>
      <c r="H10" s="1412"/>
      <c r="I10" s="1412"/>
      <c r="J10" s="1412"/>
      <c r="K10" s="1412"/>
      <c r="L10" s="1412"/>
      <c r="M10" s="1412"/>
      <c r="N10" s="1412"/>
      <c r="O10" s="1412"/>
      <c r="P10" s="1412"/>
      <c r="Q10" s="1412"/>
      <c r="R10" s="1412"/>
      <c r="S10" s="464"/>
      <c r="T10" s="464"/>
    </row>
    <row r="11" spans="1:20" s="389" customFormat="1" ht="14.45" customHeight="1">
      <c r="A11" s="235"/>
      <c r="B11" s="465"/>
      <c r="C11" s="466"/>
      <c r="D11" s="467" t="str">
        <f>IF(E10="SI APLICA","¿El indicador no se reporta por limitaciones de información disponible? ","")</f>
        <v xml:space="preserve">¿El indicador no se reporta por limitaciones de información disponible? </v>
      </c>
      <c r="E11" s="469" t="s">
        <v>1235</v>
      </c>
      <c r="F11" s="1412"/>
      <c r="G11" s="1412"/>
      <c r="H11" s="1412"/>
      <c r="I11" s="1412"/>
      <c r="J11" s="1412"/>
      <c r="K11" s="1412"/>
      <c r="L11" s="1412"/>
      <c r="M11" s="1412"/>
      <c r="N11" s="1412"/>
      <c r="O11" s="1412"/>
      <c r="P11" s="1412"/>
      <c r="Q11" s="1412"/>
      <c r="R11" s="1412"/>
    </row>
    <row r="12" spans="1:20" s="389" customFormat="1" ht="37.5" customHeight="1">
      <c r="A12" s="235"/>
      <c r="B12" s="462"/>
      <c r="C12" s="292"/>
      <c r="D12" s="467" t="str">
        <f>IF(E11="SI SE REPORTA","¿Qué programas o proyectos del Plan de Acción están asociados al indicador? ","")</f>
        <v xml:space="preserve">¿Qué programas o proyectos del Plan de Acción están asociados al indicador? </v>
      </c>
      <c r="E12" s="1430" t="s">
        <v>2173</v>
      </c>
      <c r="F12" s="1430"/>
      <c r="G12" s="1430"/>
      <c r="H12" s="1430"/>
      <c r="I12" s="1430"/>
      <c r="J12" s="1430"/>
      <c r="K12" s="1430"/>
      <c r="L12" s="1430"/>
      <c r="M12" s="1430"/>
      <c r="N12" s="1430"/>
      <c r="O12" s="1430"/>
      <c r="P12" s="1430"/>
      <c r="Q12" s="1430"/>
      <c r="R12" s="1430"/>
    </row>
    <row r="13" spans="1:20" s="389" customFormat="1" ht="21.95" customHeight="1">
      <c r="A13" s="235"/>
      <c r="B13" s="462"/>
      <c r="C13" s="292"/>
      <c r="D13" s="467" t="s">
        <v>1238</v>
      </c>
      <c r="E13" s="1395"/>
      <c r="F13" s="1396"/>
      <c r="G13" s="1396"/>
      <c r="H13" s="1396"/>
      <c r="I13" s="1396"/>
      <c r="J13" s="1396"/>
      <c r="K13" s="1396"/>
      <c r="L13" s="1396"/>
      <c r="M13" s="1396"/>
      <c r="N13" s="1396"/>
      <c r="O13" s="1396"/>
      <c r="P13" s="1396"/>
      <c r="Q13" s="1396"/>
      <c r="R13" s="1397"/>
    </row>
    <row r="14" spans="1:20" s="389" customFormat="1" ht="6.95" customHeight="1" thickBot="1">
      <c r="B14" s="462"/>
      <c r="C14" s="86"/>
      <c r="D14" s="6"/>
      <c r="E14" s="6"/>
      <c r="F14" s="6"/>
      <c r="G14" s="6"/>
      <c r="H14" s="6"/>
      <c r="I14" s="6"/>
      <c r="J14" s="6"/>
      <c r="K14" s="6"/>
    </row>
    <row r="15" spans="1:20" ht="15.6" customHeight="1" thickTop="1" thickBot="1">
      <c r="B15" s="1502" t="s">
        <v>2</v>
      </c>
      <c r="C15" s="88"/>
      <c r="D15" s="1458" t="s">
        <v>336</v>
      </c>
      <c r="E15" s="1459"/>
      <c r="F15" s="1459"/>
      <c r="G15" s="1459"/>
      <c r="H15" s="1459"/>
      <c r="I15" s="1459"/>
      <c r="J15" s="1459"/>
      <c r="K15" s="1459"/>
      <c r="L15" s="1514"/>
    </row>
    <row r="16" spans="1:20" ht="15.75" thickBot="1">
      <c r="B16" s="1503"/>
      <c r="C16" s="89" t="s">
        <v>19</v>
      </c>
      <c r="D16" s="38" t="s">
        <v>253</v>
      </c>
      <c r="E16" s="38" t="s">
        <v>20</v>
      </c>
      <c r="F16" s="38" t="s">
        <v>21</v>
      </c>
      <c r="G16" s="38" t="s">
        <v>22</v>
      </c>
      <c r="H16" s="38" t="s">
        <v>23</v>
      </c>
      <c r="I16" s="38" t="s">
        <v>254</v>
      </c>
      <c r="J16" s="6"/>
      <c r="L16" s="22"/>
    </row>
    <row r="17" spans="2:12" ht="48.75" thickBot="1">
      <c r="B17" s="1503"/>
      <c r="C17" s="90" t="s">
        <v>152</v>
      </c>
      <c r="D17" s="40" t="s">
        <v>823</v>
      </c>
      <c r="E17" s="7">
        <v>2</v>
      </c>
      <c r="F17" s="7">
        <v>1</v>
      </c>
      <c r="G17" s="7">
        <v>1</v>
      </c>
      <c r="H17" s="7"/>
      <c r="I17" s="42">
        <f>SUM(E17:H17)</f>
        <v>4</v>
      </c>
      <c r="J17" s="6"/>
      <c r="L17" s="22"/>
    </row>
    <row r="18" spans="2:12" ht="15.75" thickBot="1">
      <c r="B18" s="1503"/>
      <c r="C18" s="90" t="s">
        <v>154</v>
      </c>
      <c r="D18" s="40" t="s">
        <v>767</v>
      </c>
      <c r="E18" s="190">
        <v>300000000</v>
      </c>
      <c r="F18" s="1183">
        <v>527000000</v>
      </c>
      <c r="G18" s="190">
        <v>250000000</v>
      </c>
      <c r="H18" s="190"/>
      <c r="I18" s="138">
        <f>SUM(E18:H18)</f>
        <v>1077000000</v>
      </c>
      <c r="J18" s="6"/>
      <c r="L18" s="22"/>
    </row>
    <row r="19" spans="2:12" ht="15.75" thickBot="1">
      <c r="B19" s="1503"/>
      <c r="C19" s="90" t="s">
        <v>156</v>
      </c>
      <c r="D19" s="40" t="s">
        <v>824</v>
      </c>
      <c r="E19" s="190">
        <v>300000000</v>
      </c>
      <c r="F19" s="1183">
        <v>527000000</v>
      </c>
      <c r="G19" s="190">
        <v>250000000</v>
      </c>
      <c r="H19" s="190"/>
      <c r="I19" s="138">
        <f>SUM(E19:H19)</f>
        <v>1077000000</v>
      </c>
      <c r="J19" s="6"/>
      <c r="L19" s="22"/>
    </row>
    <row r="20" spans="2:12">
      <c r="B20" s="409"/>
      <c r="C20" s="91"/>
      <c r="D20" s="1464"/>
      <c r="E20" s="1465"/>
      <c r="F20" s="1465"/>
      <c r="G20" s="1465"/>
      <c r="H20" s="1465"/>
      <c r="I20" s="1465"/>
      <c r="J20" s="1465"/>
      <c r="K20" s="1465"/>
      <c r="L20" s="1515"/>
    </row>
    <row r="21" spans="2:12" ht="15.75" thickBot="1">
      <c r="B21" s="409"/>
      <c r="C21" s="91"/>
      <c r="D21" s="1499" t="s">
        <v>825</v>
      </c>
      <c r="E21" s="1500"/>
      <c r="F21" s="1500"/>
      <c r="G21" s="1500"/>
      <c r="H21" s="1500"/>
      <c r="I21" s="1500"/>
      <c r="J21" s="1500"/>
      <c r="K21" s="1500"/>
      <c r="L21" s="1517"/>
    </row>
    <row r="22" spans="2:12" ht="15" customHeight="1" thickBot="1">
      <c r="B22" s="409"/>
      <c r="C22" s="1541" t="s">
        <v>19</v>
      </c>
      <c r="D22" s="1447" t="s">
        <v>270</v>
      </c>
      <c r="E22" s="1447" t="s">
        <v>619</v>
      </c>
      <c r="F22" s="1453" t="s">
        <v>620</v>
      </c>
      <c r="G22" s="1455"/>
      <c r="H22" s="1453" t="s">
        <v>692</v>
      </c>
      <c r="I22" s="1454"/>
      <c r="J22" s="1454"/>
      <c r="K22" s="1455"/>
      <c r="L22" s="117"/>
    </row>
    <row r="23" spans="2:12" ht="34.5" thickBot="1">
      <c r="B23" s="409"/>
      <c r="C23" s="1542"/>
      <c r="D23" s="1449"/>
      <c r="E23" s="1448"/>
      <c r="F23" s="69" t="s">
        <v>621</v>
      </c>
      <c r="G23" s="72" t="s">
        <v>622</v>
      </c>
      <c r="H23" s="69" t="s">
        <v>767</v>
      </c>
      <c r="I23" s="69" t="s">
        <v>344</v>
      </c>
      <c r="J23" s="69" t="s">
        <v>274</v>
      </c>
      <c r="K23" s="69" t="s">
        <v>275</v>
      </c>
      <c r="L23" s="12"/>
    </row>
    <row r="24" spans="2:12" ht="132.75" customHeight="1" thickBot="1">
      <c r="B24" s="409"/>
      <c r="C24" s="361">
        <v>1</v>
      </c>
      <c r="D24" s="558"/>
      <c r="E24" s="1184"/>
      <c r="F24" s="1602">
        <v>0.85</v>
      </c>
      <c r="G24" s="1602">
        <v>1</v>
      </c>
      <c r="H24" s="1603">
        <v>1</v>
      </c>
      <c r="I24" s="1602">
        <v>1</v>
      </c>
      <c r="J24" s="1601">
        <v>0.92569999999999997</v>
      </c>
      <c r="K24" s="1601">
        <v>0.88229999999999997</v>
      </c>
      <c r="L24" s="14"/>
    </row>
    <row r="25" spans="2:12" ht="144" customHeight="1" thickBot="1">
      <c r="B25" s="409"/>
      <c r="C25" s="361">
        <v>2</v>
      </c>
      <c r="D25" s="558" t="s">
        <v>1560</v>
      </c>
      <c r="E25" s="1184" t="s">
        <v>1472</v>
      </c>
      <c r="F25" s="1602"/>
      <c r="G25" s="1602"/>
      <c r="H25" s="1603"/>
      <c r="I25" s="1602"/>
      <c r="J25" s="1601"/>
      <c r="K25" s="1601"/>
      <c r="L25" s="14"/>
    </row>
    <row r="26" spans="2:12" ht="15.75" hidden="1" thickBot="1">
      <c r="B26" s="409"/>
      <c r="C26" s="361">
        <v>3</v>
      </c>
      <c r="D26" s="559"/>
      <c r="E26" s="558"/>
      <c r="F26" s="1602"/>
      <c r="G26" s="1602"/>
      <c r="H26" s="1603"/>
      <c r="I26" s="1602"/>
      <c r="J26" s="1601"/>
      <c r="K26" s="1601"/>
      <c r="L26" s="14"/>
    </row>
    <row r="27" spans="2:12" ht="15.75" hidden="1" thickBot="1">
      <c r="B27" s="409"/>
      <c r="C27" s="361">
        <v>4</v>
      </c>
      <c r="D27" s="31"/>
      <c r="E27" s="30"/>
      <c r="F27" s="32"/>
      <c r="G27" s="32"/>
      <c r="H27" s="190"/>
      <c r="I27" s="190"/>
      <c r="J27" s="190"/>
      <c r="K27" s="190"/>
      <c r="L27" s="12"/>
    </row>
    <row r="28" spans="2:12" ht="15.75" hidden="1" thickBot="1">
      <c r="B28" s="409"/>
      <c r="C28" s="361">
        <v>5</v>
      </c>
      <c r="D28" s="31"/>
      <c r="E28" s="30"/>
      <c r="F28" s="32"/>
      <c r="G28" s="32"/>
      <c r="H28" s="190"/>
      <c r="I28" s="190"/>
      <c r="J28" s="190"/>
      <c r="K28" s="190"/>
      <c r="L28" s="12"/>
    </row>
    <row r="29" spans="2:12" ht="15.75" hidden="1" thickBot="1">
      <c r="B29" s="409"/>
      <c r="C29" s="361">
        <v>6</v>
      </c>
      <c r="D29" s="31"/>
      <c r="E29" s="30"/>
      <c r="F29" s="32"/>
      <c r="G29" s="32"/>
      <c r="H29" s="190"/>
      <c r="I29" s="190"/>
      <c r="J29" s="190"/>
      <c r="K29" s="190"/>
      <c r="L29" s="12"/>
    </row>
    <row r="30" spans="2:12" ht="15.75" thickBot="1">
      <c r="B30" s="409"/>
      <c r="C30" s="75"/>
      <c r="D30" s="45" t="s">
        <v>151</v>
      </c>
      <c r="E30" s="130"/>
      <c r="F30" s="131"/>
      <c r="G30" s="132"/>
      <c r="H30" s="139">
        <f>SUM(H24:H29)</f>
        <v>1</v>
      </c>
      <c r="I30" s="139">
        <f>SUM(I24:I29)</f>
        <v>1</v>
      </c>
      <c r="J30" s="139">
        <f>SUM(J24:J29)</f>
        <v>0.92569999999999997</v>
      </c>
      <c r="K30" s="139">
        <f>SUM(K24:K29)</f>
        <v>0.88229999999999997</v>
      </c>
      <c r="L30" s="13"/>
    </row>
    <row r="31" spans="2:12">
      <c r="B31" s="409"/>
      <c r="C31" s="91"/>
      <c r="D31" s="1464" t="s">
        <v>826</v>
      </c>
      <c r="E31" s="1465"/>
      <c r="F31" s="1465"/>
      <c r="G31" s="1465"/>
      <c r="H31" s="1465"/>
      <c r="I31" s="1465"/>
      <c r="J31" s="1465"/>
      <c r="K31" s="1465"/>
      <c r="L31" s="1515"/>
    </row>
    <row r="32" spans="2:12" ht="24" customHeight="1" thickBot="1">
      <c r="B32" s="409"/>
      <c r="C32" s="91"/>
      <c r="D32" s="1464" t="s">
        <v>827</v>
      </c>
      <c r="E32" s="1465"/>
      <c r="F32" s="1465"/>
      <c r="G32" s="1465"/>
      <c r="H32" s="1465"/>
      <c r="I32" s="1465"/>
      <c r="J32" s="1465"/>
      <c r="K32" s="1465"/>
      <c r="L32" s="1515"/>
    </row>
    <row r="33" spans="2:14" ht="15.75" thickBot="1">
      <c r="B33" s="409"/>
      <c r="C33" s="1610" t="s">
        <v>19</v>
      </c>
      <c r="D33" s="1613" t="s">
        <v>696</v>
      </c>
      <c r="E33" s="67" t="s">
        <v>828</v>
      </c>
      <c r="F33" s="1616" t="s">
        <v>697</v>
      </c>
      <c r="G33" s="1617"/>
      <c r="H33" s="1618" t="s">
        <v>55</v>
      </c>
      <c r="I33" s="6"/>
      <c r="J33" s="6"/>
      <c r="L33" s="22"/>
    </row>
    <row r="34" spans="2:14">
      <c r="B34" s="409"/>
      <c r="C34" s="1611"/>
      <c r="D34" s="1614"/>
      <c r="E34" s="1447" t="s">
        <v>829</v>
      </c>
      <c r="F34" s="1447" t="s">
        <v>698</v>
      </c>
      <c r="G34" s="46" t="s">
        <v>699</v>
      </c>
      <c r="H34" s="1619"/>
      <c r="I34" s="6"/>
      <c r="J34" s="6"/>
      <c r="L34" s="22"/>
    </row>
    <row r="35" spans="2:14" ht="24.75" thickBot="1">
      <c r="B35" s="409"/>
      <c r="C35" s="1612"/>
      <c r="D35" s="1615"/>
      <c r="E35" s="1449"/>
      <c r="F35" s="1449"/>
      <c r="G35" s="40" t="s">
        <v>694</v>
      </c>
      <c r="H35" s="1620"/>
      <c r="I35" s="6"/>
      <c r="J35" s="6"/>
      <c r="L35" s="22"/>
    </row>
    <row r="36" spans="2:14" ht="15.75" thickBot="1">
      <c r="B36" s="409"/>
      <c r="C36" s="426">
        <v>1</v>
      </c>
      <c r="D36" s="232">
        <v>0.35</v>
      </c>
      <c r="E36" s="32">
        <f>+G24</f>
        <v>1</v>
      </c>
      <c r="F36" s="144">
        <f>IFERROR(J24/I24,0)</f>
        <v>0.92569999999999997</v>
      </c>
      <c r="G36" s="144"/>
      <c r="H36" s="31"/>
      <c r="I36" s="6"/>
      <c r="J36" s="6"/>
      <c r="L36" s="22"/>
    </row>
    <row r="37" spans="2:14" ht="15.75" thickBot="1">
      <c r="B37" s="409"/>
      <c r="C37" s="426">
        <v>2</v>
      </c>
      <c r="D37" s="451">
        <v>0.35</v>
      </c>
      <c r="E37" s="32">
        <f t="shared" ref="E37:E41" si="0">+G25</f>
        <v>0</v>
      </c>
      <c r="F37" s="144">
        <f t="shared" ref="F37:G41" si="1">IFERROR(J25/I25,0)</f>
        <v>0</v>
      </c>
      <c r="G37" s="144">
        <f t="shared" si="1"/>
        <v>0</v>
      </c>
      <c r="H37" s="31"/>
      <c r="I37" s="6"/>
      <c r="J37" s="6"/>
      <c r="L37" s="22"/>
    </row>
    <row r="38" spans="2:14" ht="15.75" thickBot="1">
      <c r="B38" s="409"/>
      <c r="C38" s="426">
        <v>3</v>
      </c>
      <c r="D38" s="451">
        <v>0.3</v>
      </c>
      <c r="E38" s="32">
        <v>1</v>
      </c>
      <c r="F38" s="144">
        <f t="shared" si="1"/>
        <v>0</v>
      </c>
      <c r="G38" s="144">
        <f t="shared" si="1"/>
        <v>0</v>
      </c>
      <c r="H38" s="31"/>
      <c r="I38" s="6"/>
      <c r="J38" s="6"/>
      <c r="L38" s="22"/>
    </row>
    <row r="39" spans="2:14" ht="15.75" thickBot="1">
      <c r="B39" s="409"/>
      <c r="C39" s="426">
        <v>4</v>
      </c>
      <c r="D39" s="451"/>
      <c r="E39" s="32">
        <f t="shared" si="0"/>
        <v>0</v>
      </c>
      <c r="F39" s="144">
        <f t="shared" si="1"/>
        <v>0</v>
      </c>
      <c r="G39" s="144">
        <f t="shared" si="1"/>
        <v>0</v>
      </c>
      <c r="H39" s="31"/>
      <c r="I39" s="6"/>
      <c r="J39" s="6"/>
      <c r="L39" s="22"/>
    </row>
    <row r="40" spans="2:14" ht="15.75" thickBot="1">
      <c r="B40" s="409"/>
      <c r="C40" s="426">
        <v>5</v>
      </c>
      <c r="D40" s="451"/>
      <c r="E40" s="32">
        <f t="shared" si="0"/>
        <v>0</v>
      </c>
      <c r="F40" s="144">
        <f t="shared" si="1"/>
        <v>0</v>
      </c>
      <c r="G40" s="144">
        <f t="shared" si="1"/>
        <v>0</v>
      </c>
      <c r="H40" s="31"/>
      <c r="I40" s="6"/>
      <c r="J40" s="6"/>
      <c r="L40" s="22"/>
    </row>
    <row r="41" spans="2:14" ht="15.75" thickBot="1">
      <c r="B41" s="409"/>
      <c r="C41" s="426">
        <v>6</v>
      </c>
      <c r="D41" s="451"/>
      <c r="E41" s="32">
        <f t="shared" si="0"/>
        <v>0</v>
      </c>
      <c r="F41" s="144">
        <f t="shared" si="1"/>
        <v>0</v>
      </c>
      <c r="G41" s="144">
        <f t="shared" si="1"/>
        <v>0</v>
      </c>
      <c r="H41" s="31"/>
      <c r="I41" s="6"/>
      <c r="J41" s="6"/>
      <c r="L41" s="22"/>
    </row>
    <row r="42" spans="2:14" ht="15.75" thickBot="1">
      <c r="B42" s="410"/>
      <c r="C42" s="105"/>
      <c r="D42" s="199">
        <f>Formulas!$D$24</f>
        <v>1</v>
      </c>
      <c r="E42" s="206">
        <f>+D36*E36+D37*E37+D38*E38+D39*E39+D40*E40+D41*E41</f>
        <v>0.64999999999999991</v>
      </c>
      <c r="F42" s="206">
        <f>+D36*F36+D37*F37+D38*F38+D39*F39+D40*F40+D41*F41</f>
        <v>0.32399499999999998</v>
      </c>
      <c r="G42" s="144">
        <f>Formulas!F24</f>
        <v>0.95311656044074755</v>
      </c>
      <c r="H42" s="31"/>
      <c r="I42" s="23"/>
      <c r="J42" s="23"/>
      <c r="K42" s="23"/>
      <c r="L42" s="24"/>
      <c r="N42" t="s">
        <v>1190</v>
      </c>
    </row>
    <row r="43" spans="2:14" ht="15.75" thickBot="1">
      <c r="B43" s="37"/>
      <c r="C43" s="87"/>
      <c r="D43" s="6"/>
      <c r="E43" s="6"/>
      <c r="F43" s="6"/>
      <c r="G43" s="6"/>
      <c r="H43" s="6"/>
      <c r="I43" s="6"/>
      <c r="J43" s="6"/>
      <c r="K43" s="6"/>
    </row>
    <row r="44" spans="2:14" ht="108.75" thickBot="1">
      <c r="B44" s="52" t="s">
        <v>34</v>
      </c>
      <c r="C44" s="97"/>
      <c r="D44" s="43" t="s">
        <v>830</v>
      </c>
      <c r="E44" s="6"/>
      <c r="F44" s="6"/>
      <c r="G44" s="6"/>
      <c r="H44" s="6"/>
      <c r="I44" s="6"/>
      <c r="J44" s="6"/>
      <c r="K44" s="6"/>
    </row>
    <row r="45" spans="2:14" ht="48.6" customHeight="1" thickBot="1">
      <c r="B45" s="47" t="s">
        <v>36</v>
      </c>
      <c r="C45" s="3"/>
      <c r="D45" s="40" t="s">
        <v>346</v>
      </c>
      <c r="E45" s="6"/>
      <c r="F45" s="6"/>
      <c r="G45" s="6"/>
      <c r="H45" s="6"/>
      <c r="I45" s="6"/>
      <c r="J45" s="6"/>
      <c r="K45" s="6"/>
    </row>
    <row r="46" spans="2:14" ht="15.75" thickBot="1">
      <c r="B46" s="2"/>
      <c r="C46" s="75"/>
      <c r="D46" s="6"/>
      <c r="E46" s="6"/>
      <c r="F46" s="6"/>
      <c r="G46" s="6"/>
      <c r="H46" s="6"/>
      <c r="I46" s="6"/>
      <c r="J46" s="6"/>
      <c r="K46" s="6"/>
    </row>
    <row r="47" spans="2:14" ht="24" customHeight="1" thickBot="1">
      <c r="B47" s="1450" t="s">
        <v>38</v>
      </c>
      <c r="C47" s="1451"/>
      <c r="D47" s="1451"/>
      <c r="E47" s="1452"/>
      <c r="F47" s="6"/>
      <c r="G47" s="6"/>
      <c r="H47" s="6"/>
      <c r="I47" s="6"/>
      <c r="J47" s="6"/>
      <c r="K47" s="6"/>
    </row>
    <row r="48" spans="2:14" ht="36.75" thickBot="1">
      <c r="B48" s="1447">
        <v>1</v>
      </c>
      <c r="C48" s="93"/>
      <c r="D48" s="48" t="s">
        <v>39</v>
      </c>
      <c r="E48" s="447" t="s">
        <v>1413</v>
      </c>
      <c r="F48" s="6"/>
      <c r="G48" s="6"/>
      <c r="H48" s="6"/>
      <c r="I48" s="6"/>
      <c r="J48" s="6"/>
      <c r="K48" s="6"/>
    </row>
    <row r="49" spans="2:11" ht="36.75" thickBot="1">
      <c r="B49" s="1448"/>
      <c r="C49" s="93"/>
      <c r="D49" s="40" t="s">
        <v>40</v>
      </c>
      <c r="E49" s="447" t="s">
        <v>1400</v>
      </c>
      <c r="F49" s="6"/>
      <c r="G49" s="6"/>
      <c r="H49" s="6"/>
      <c r="I49" s="6"/>
      <c r="J49" s="6"/>
      <c r="K49" s="6"/>
    </row>
    <row r="50" spans="2:11" ht="15.75" thickBot="1">
      <c r="B50" s="1448"/>
      <c r="C50" s="93"/>
      <c r="D50" s="40" t="s">
        <v>41</v>
      </c>
      <c r="E50" s="447" t="s">
        <v>1477</v>
      </c>
      <c r="F50" s="6"/>
      <c r="G50" s="6"/>
      <c r="H50" s="6"/>
      <c r="I50" s="6"/>
      <c r="J50" s="6"/>
      <c r="K50" s="6"/>
    </row>
    <row r="51" spans="2:11" ht="15.75" thickBot="1">
      <c r="B51" s="1448"/>
      <c r="C51" s="93"/>
      <c r="D51" s="40" t="s">
        <v>42</v>
      </c>
      <c r="E51" s="447" t="s">
        <v>1390</v>
      </c>
      <c r="F51" s="6"/>
      <c r="G51" s="6"/>
      <c r="H51" s="6"/>
      <c r="I51" s="6"/>
      <c r="J51" s="6"/>
      <c r="K51" s="6"/>
    </row>
    <row r="52" spans="2:11" ht="24.75" thickBot="1">
      <c r="B52" s="1448"/>
      <c r="C52" s="93"/>
      <c r="D52" s="40" t="s">
        <v>43</v>
      </c>
      <c r="E52" s="447" t="s">
        <v>1391</v>
      </c>
      <c r="F52" s="6"/>
      <c r="G52" s="6"/>
      <c r="H52" s="6"/>
      <c r="I52" s="6"/>
      <c r="J52" s="6"/>
      <c r="K52" s="6"/>
    </row>
    <row r="53" spans="2:11" ht="15.75" thickBot="1">
      <c r="B53" s="1448"/>
      <c r="C53" s="93"/>
      <c r="D53" s="40" t="s">
        <v>44</v>
      </c>
      <c r="E53" s="447">
        <v>5748960</v>
      </c>
      <c r="F53" s="6"/>
      <c r="G53" s="6"/>
      <c r="H53" s="6"/>
      <c r="I53" s="6"/>
      <c r="J53" s="6"/>
      <c r="K53" s="6"/>
    </row>
    <row r="54" spans="2:11" ht="36.75" thickBot="1">
      <c r="B54" s="1449"/>
      <c r="C54" s="3"/>
      <c r="D54" s="40" t="s">
        <v>45</v>
      </c>
      <c r="E54" s="447" t="s">
        <v>1407</v>
      </c>
      <c r="F54" s="6"/>
      <c r="G54" s="6"/>
      <c r="H54" s="6"/>
      <c r="I54" s="6"/>
      <c r="J54" s="6"/>
      <c r="K54" s="6"/>
    </row>
    <row r="55" spans="2:11" ht="15.75" thickBot="1">
      <c r="B55" s="2"/>
      <c r="C55" s="75"/>
      <c r="D55" s="6"/>
      <c r="E55" s="6"/>
      <c r="F55" s="6"/>
      <c r="G55" s="6"/>
      <c r="H55" s="6"/>
      <c r="I55" s="6"/>
      <c r="J55" s="6"/>
      <c r="K55" s="6"/>
    </row>
    <row r="56" spans="2:11" ht="15.75" thickBot="1">
      <c r="B56" s="1450" t="s">
        <v>46</v>
      </c>
      <c r="C56" s="1451"/>
      <c r="D56" s="1451"/>
      <c r="E56" s="1452"/>
      <c r="F56" s="6"/>
      <c r="G56" s="6"/>
      <c r="H56" s="6"/>
      <c r="I56" s="6"/>
      <c r="J56" s="6"/>
      <c r="K56" s="6"/>
    </row>
    <row r="57" spans="2:11" ht="15.75" thickBot="1">
      <c r="B57" s="1447">
        <v>1</v>
      </c>
      <c r="C57" s="93"/>
      <c r="D57" s="48" t="s">
        <v>39</v>
      </c>
      <c r="E57" s="417" t="s">
        <v>47</v>
      </c>
      <c r="F57" s="6"/>
      <c r="G57" s="6"/>
      <c r="H57" s="6"/>
      <c r="I57" s="6"/>
      <c r="J57" s="6"/>
      <c r="K57" s="6"/>
    </row>
    <row r="58" spans="2:11" ht="15.75" thickBot="1">
      <c r="B58" s="1448"/>
      <c r="C58" s="93"/>
      <c r="D58" s="40" t="s">
        <v>40</v>
      </c>
      <c r="E58" s="417" t="s">
        <v>160</v>
      </c>
      <c r="F58" s="6"/>
      <c r="G58" s="6"/>
      <c r="H58" s="6"/>
      <c r="I58" s="6"/>
      <c r="J58" s="6"/>
      <c r="K58" s="6"/>
    </row>
    <row r="59" spans="2:11" ht="15.75" thickBot="1">
      <c r="B59" s="1448"/>
      <c r="C59" s="93"/>
      <c r="D59" s="40" t="s">
        <v>41</v>
      </c>
      <c r="E59" s="168"/>
      <c r="F59" s="6"/>
      <c r="G59" s="6"/>
      <c r="H59" s="6"/>
      <c r="I59" s="6"/>
      <c r="J59" s="6"/>
      <c r="K59" s="6"/>
    </row>
    <row r="60" spans="2:11" ht="15.75" thickBot="1">
      <c r="B60" s="1448"/>
      <c r="C60" s="93"/>
      <c r="D60" s="40" t="s">
        <v>42</v>
      </c>
      <c r="E60" s="168"/>
      <c r="F60" s="6"/>
      <c r="G60" s="6"/>
      <c r="H60" s="6"/>
      <c r="I60" s="6"/>
      <c r="J60" s="6"/>
      <c r="K60" s="6"/>
    </row>
    <row r="61" spans="2:11" ht="15.75" thickBot="1">
      <c r="B61" s="1448"/>
      <c r="C61" s="93"/>
      <c r="D61" s="40" t="s">
        <v>43</v>
      </c>
      <c r="E61" s="168"/>
      <c r="F61" s="6"/>
      <c r="G61" s="6"/>
      <c r="H61" s="6"/>
      <c r="I61" s="6"/>
      <c r="J61" s="6"/>
      <c r="K61" s="6"/>
    </row>
    <row r="62" spans="2:11" ht="15.75" thickBot="1">
      <c r="B62" s="1448"/>
      <c r="C62" s="93"/>
      <c r="D62" s="40" t="s">
        <v>44</v>
      </c>
      <c r="E62" s="168"/>
      <c r="F62" s="6"/>
      <c r="G62" s="6"/>
      <c r="H62" s="6"/>
      <c r="I62" s="6"/>
      <c r="J62" s="6"/>
      <c r="K62" s="6"/>
    </row>
    <row r="63" spans="2:11" ht="15.75" thickBot="1">
      <c r="B63" s="1449"/>
      <c r="C63" s="3"/>
      <c r="D63" s="40" t="s">
        <v>45</v>
      </c>
      <c r="E63" s="168"/>
      <c r="F63" s="6"/>
      <c r="G63" s="6"/>
      <c r="H63" s="6"/>
      <c r="I63" s="6"/>
      <c r="J63" s="6"/>
      <c r="K63" s="6"/>
    </row>
    <row r="64" spans="2:11" ht="15.75" thickBot="1">
      <c r="B64" s="2"/>
      <c r="C64" s="75"/>
      <c r="D64" s="6"/>
      <c r="E64" s="6"/>
      <c r="F64" s="6"/>
      <c r="G64" s="6"/>
      <c r="H64" s="6"/>
      <c r="I64" s="6"/>
      <c r="J64" s="6"/>
      <c r="K64" s="6"/>
    </row>
    <row r="65" spans="2:11" ht="15" customHeight="1" thickBot="1">
      <c r="B65" s="123" t="s">
        <v>49</v>
      </c>
      <c r="C65" s="124"/>
      <c r="D65" s="124"/>
      <c r="E65" s="125"/>
      <c r="G65" s="6"/>
      <c r="H65" s="6"/>
      <c r="I65" s="6"/>
      <c r="J65" s="6"/>
      <c r="K65" s="6"/>
    </row>
    <row r="66" spans="2:11" ht="24.75" thickBot="1">
      <c r="B66" s="47" t="s">
        <v>50</v>
      </c>
      <c r="C66" s="40" t="s">
        <v>51</v>
      </c>
      <c r="D66" s="40" t="s">
        <v>52</v>
      </c>
      <c r="E66" s="40" t="s">
        <v>53</v>
      </c>
      <c r="F66" s="6"/>
      <c r="G66" s="6"/>
      <c r="H66" s="6"/>
      <c r="I66" s="6"/>
      <c r="J66" s="6"/>
    </row>
    <row r="67" spans="2:11" ht="72.75" thickBot="1">
      <c r="B67" s="49">
        <v>42401</v>
      </c>
      <c r="C67" s="40">
        <v>0.01</v>
      </c>
      <c r="D67" s="50" t="s">
        <v>831</v>
      </c>
      <c r="E67" s="40"/>
      <c r="F67" s="6"/>
      <c r="G67" s="6"/>
      <c r="H67" s="6"/>
      <c r="I67" s="6"/>
      <c r="J67" s="6"/>
    </row>
    <row r="68" spans="2:11" ht="15.75" thickBot="1">
      <c r="B68" s="4"/>
      <c r="C68" s="94"/>
      <c r="D68" s="6"/>
      <c r="E68" s="6"/>
      <c r="F68" s="6"/>
      <c r="G68" s="6"/>
      <c r="H68" s="6"/>
      <c r="I68" s="6"/>
      <c r="J68" s="6"/>
      <c r="K68" s="6"/>
    </row>
    <row r="69" spans="2:11" ht="15.75" thickBot="1">
      <c r="B69" s="452" t="s">
        <v>55</v>
      </c>
      <c r="C69" s="95"/>
      <c r="D69" s="6"/>
      <c r="E69" s="6"/>
      <c r="F69" s="6"/>
      <c r="G69" s="6"/>
      <c r="H69" s="6"/>
      <c r="I69" s="6"/>
      <c r="J69" s="6"/>
      <c r="K69" s="6"/>
    </row>
    <row r="70" spans="2:11">
      <c r="B70" s="1604"/>
      <c r="C70" s="1605"/>
      <c r="D70" s="1605"/>
      <c r="E70" s="1606"/>
      <c r="F70" s="6"/>
      <c r="G70" s="6"/>
      <c r="H70" s="6"/>
      <c r="I70" s="6"/>
      <c r="J70" s="6"/>
      <c r="K70" s="6"/>
    </row>
    <row r="71" spans="2:11" ht="15.75" thickBot="1">
      <c r="B71" s="1607"/>
      <c r="C71" s="1608"/>
      <c r="D71" s="1608"/>
      <c r="E71" s="1609"/>
      <c r="F71" s="6"/>
      <c r="G71" s="6"/>
      <c r="H71" s="6"/>
      <c r="I71" s="6"/>
      <c r="J71" s="6"/>
      <c r="K71" s="6"/>
    </row>
    <row r="72" spans="2:11">
      <c r="B72" s="2"/>
      <c r="C72" s="75"/>
      <c r="D72" s="6"/>
      <c r="E72" s="6"/>
      <c r="F72" s="6"/>
      <c r="G72" s="6"/>
      <c r="H72" s="6"/>
      <c r="I72" s="6"/>
      <c r="J72" s="6"/>
      <c r="K72" s="6"/>
    </row>
    <row r="73" spans="2:11" ht="15.75" thickBot="1">
      <c r="B73" s="6"/>
      <c r="D73" s="6"/>
      <c r="E73" s="6"/>
      <c r="F73" s="6"/>
      <c r="G73" s="6"/>
      <c r="H73" s="6"/>
      <c r="I73" s="6"/>
      <c r="J73" s="6"/>
      <c r="K73" s="6"/>
    </row>
    <row r="74" spans="2:11" ht="24.75" thickBot="1">
      <c r="B74" s="51" t="s">
        <v>56</v>
      </c>
      <c r="C74" s="96"/>
      <c r="D74" s="6"/>
      <c r="E74" s="6"/>
      <c r="F74" s="6"/>
      <c r="G74" s="6"/>
      <c r="H74" s="6"/>
      <c r="I74" s="6"/>
      <c r="J74" s="6"/>
      <c r="K74" s="6"/>
    </row>
    <row r="75" spans="2:11" ht="15.75" thickBot="1">
      <c r="B75" s="37"/>
      <c r="C75" s="87"/>
      <c r="D75" s="6"/>
      <c r="E75" s="6"/>
      <c r="F75" s="6"/>
      <c r="G75" s="6"/>
      <c r="H75" s="6"/>
      <c r="I75" s="6"/>
      <c r="J75" s="6"/>
      <c r="K75" s="6"/>
    </row>
    <row r="76" spans="2:11" ht="48.75" thickBot="1">
      <c r="B76" s="52" t="s">
        <v>57</v>
      </c>
      <c r="C76" s="97"/>
      <c r="D76" s="43" t="s">
        <v>773</v>
      </c>
      <c r="E76" s="6"/>
      <c r="F76" s="6"/>
      <c r="G76" s="6"/>
      <c r="H76" s="6"/>
      <c r="I76" s="6"/>
      <c r="J76" s="6"/>
      <c r="K76" s="6"/>
    </row>
    <row r="77" spans="2:11">
      <c r="B77" s="1447" t="s">
        <v>59</v>
      </c>
      <c r="C77" s="93"/>
      <c r="D77" s="53" t="s">
        <v>60</v>
      </c>
      <c r="E77" s="6"/>
      <c r="F77" s="6"/>
      <c r="G77" s="6"/>
      <c r="H77" s="6"/>
      <c r="I77" s="6"/>
      <c r="J77" s="6"/>
      <c r="K77" s="6"/>
    </row>
    <row r="78" spans="2:11" ht="108">
      <c r="B78" s="1448"/>
      <c r="C78" s="93"/>
      <c r="D78" s="46" t="s">
        <v>774</v>
      </c>
      <c r="E78" s="6"/>
      <c r="F78" s="6"/>
      <c r="G78" s="6"/>
      <c r="H78" s="6"/>
      <c r="I78" s="6"/>
      <c r="J78" s="6"/>
      <c r="K78" s="6"/>
    </row>
    <row r="79" spans="2:11">
      <c r="B79" s="1448"/>
      <c r="C79" s="93"/>
      <c r="D79" s="46" t="s">
        <v>775</v>
      </c>
      <c r="E79" s="6"/>
      <c r="F79" s="6"/>
      <c r="G79" s="6"/>
      <c r="H79" s="6"/>
      <c r="I79" s="6"/>
      <c r="J79" s="6"/>
      <c r="K79" s="6"/>
    </row>
    <row r="80" spans="2:11" ht="24">
      <c r="B80" s="1448"/>
      <c r="C80" s="93"/>
      <c r="D80" s="46" t="s">
        <v>776</v>
      </c>
      <c r="E80" s="6"/>
      <c r="F80" s="6"/>
      <c r="G80" s="6"/>
      <c r="H80" s="6"/>
      <c r="I80" s="6"/>
      <c r="J80" s="6"/>
      <c r="K80" s="6"/>
    </row>
    <row r="81" spans="2:11" ht="24">
      <c r="B81" s="1448"/>
      <c r="C81" s="93"/>
      <c r="D81" s="46" t="s">
        <v>777</v>
      </c>
      <c r="E81" s="6"/>
      <c r="F81" s="6"/>
      <c r="G81" s="6"/>
      <c r="H81" s="6"/>
      <c r="I81" s="6"/>
      <c r="J81" s="6"/>
      <c r="K81" s="6"/>
    </row>
    <row r="82" spans="2:11">
      <c r="B82" s="1448"/>
      <c r="C82" s="93"/>
      <c r="D82" s="53" t="s">
        <v>288</v>
      </c>
      <c r="E82" s="6"/>
      <c r="F82" s="6"/>
      <c r="G82" s="6"/>
      <c r="H82" s="6"/>
      <c r="I82" s="6"/>
      <c r="J82" s="6"/>
      <c r="K82" s="6"/>
    </row>
    <row r="83" spans="2:11" ht="24">
      <c r="B83" s="1448"/>
      <c r="C83" s="93"/>
      <c r="D83" s="46" t="s">
        <v>778</v>
      </c>
      <c r="E83" s="6"/>
      <c r="F83" s="6"/>
      <c r="G83" s="6"/>
      <c r="H83" s="6"/>
      <c r="I83" s="6"/>
      <c r="J83" s="6"/>
      <c r="K83" s="6"/>
    </row>
    <row r="84" spans="2:11">
      <c r="B84" s="1448"/>
      <c r="C84" s="93"/>
      <c r="D84" s="46" t="s">
        <v>779</v>
      </c>
      <c r="E84" s="6"/>
      <c r="F84" s="6"/>
      <c r="G84" s="6"/>
      <c r="H84" s="6"/>
      <c r="I84" s="6"/>
      <c r="J84" s="6"/>
      <c r="K84" s="6"/>
    </row>
    <row r="85" spans="2:11" ht="36">
      <c r="B85" s="1448"/>
      <c r="C85" s="93"/>
      <c r="D85" s="46" t="s">
        <v>780</v>
      </c>
      <c r="E85" s="6"/>
      <c r="F85" s="6"/>
      <c r="G85" s="6"/>
      <c r="H85" s="6"/>
      <c r="I85" s="6"/>
      <c r="J85" s="6"/>
      <c r="K85" s="6"/>
    </row>
    <row r="86" spans="2:11" ht="36">
      <c r="B86" s="1448"/>
      <c r="C86" s="93"/>
      <c r="D86" s="46" t="s">
        <v>781</v>
      </c>
      <c r="E86" s="6"/>
      <c r="F86" s="6"/>
      <c r="G86" s="6"/>
      <c r="H86" s="6"/>
      <c r="I86" s="6"/>
      <c r="J86" s="6"/>
      <c r="K86" s="6"/>
    </row>
    <row r="87" spans="2:11" ht="24">
      <c r="B87" s="1448"/>
      <c r="C87" s="93"/>
      <c r="D87" s="46" t="s">
        <v>782</v>
      </c>
      <c r="E87" s="6"/>
      <c r="F87" s="6"/>
      <c r="G87" s="6"/>
      <c r="H87" s="6"/>
      <c r="I87" s="6"/>
      <c r="J87" s="6"/>
      <c r="K87" s="6"/>
    </row>
    <row r="88" spans="2:11" ht="48">
      <c r="B88" s="1448"/>
      <c r="C88" s="93"/>
      <c r="D88" s="46" t="s">
        <v>783</v>
      </c>
      <c r="E88" s="6"/>
      <c r="F88" s="6"/>
      <c r="G88" s="6"/>
      <c r="H88" s="6"/>
      <c r="I88" s="6"/>
      <c r="J88" s="6"/>
      <c r="K88" s="6"/>
    </row>
    <row r="89" spans="2:11" ht="36">
      <c r="B89" s="1448"/>
      <c r="C89" s="93"/>
      <c r="D89" s="46" t="s">
        <v>784</v>
      </c>
      <c r="E89" s="6"/>
      <c r="F89" s="6"/>
      <c r="G89" s="6"/>
      <c r="H89" s="6"/>
      <c r="I89" s="6"/>
      <c r="J89" s="6"/>
      <c r="K89" s="6"/>
    </row>
    <row r="90" spans="2:11" ht="24">
      <c r="B90" s="1448"/>
      <c r="C90" s="93"/>
      <c r="D90" s="46" t="s">
        <v>785</v>
      </c>
      <c r="E90" s="6"/>
      <c r="F90" s="6"/>
      <c r="G90" s="6"/>
      <c r="H90" s="6"/>
      <c r="I90" s="6"/>
      <c r="J90" s="6"/>
      <c r="K90" s="6"/>
    </row>
    <row r="91" spans="2:11" ht="24">
      <c r="B91" s="1448"/>
      <c r="C91" s="93"/>
      <c r="D91" s="46" t="s">
        <v>786</v>
      </c>
      <c r="E91" s="6"/>
      <c r="F91" s="6"/>
      <c r="G91" s="6"/>
      <c r="H91" s="6"/>
      <c r="I91" s="6"/>
      <c r="J91" s="6"/>
      <c r="K91" s="6"/>
    </row>
    <row r="92" spans="2:11" ht="60.75" thickBot="1">
      <c r="B92" s="1449"/>
      <c r="C92" s="3"/>
      <c r="D92" s="56" t="s">
        <v>787</v>
      </c>
      <c r="E92" s="6"/>
      <c r="F92" s="6"/>
      <c r="G92" s="6"/>
      <c r="H92" s="6"/>
      <c r="I92" s="6"/>
      <c r="J92" s="6"/>
      <c r="K92" s="6"/>
    </row>
    <row r="93" spans="2:11">
      <c r="B93" s="1447" t="s">
        <v>72</v>
      </c>
      <c r="C93" s="98"/>
      <c r="D93" s="1447"/>
      <c r="E93" s="6"/>
      <c r="F93" s="6"/>
      <c r="G93" s="6"/>
      <c r="H93" s="6"/>
      <c r="I93" s="6"/>
      <c r="J93" s="6"/>
      <c r="K93" s="6"/>
    </row>
    <row r="94" spans="2:11" ht="15.75" thickBot="1">
      <c r="B94" s="1449"/>
      <c r="C94" s="99"/>
      <c r="D94" s="1449"/>
      <c r="E94" s="6"/>
      <c r="F94" s="6"/>
      <c r="G94" s="6"/>
      <c r="H94" s="6"/>
      <c r="I94" s="6"/>
      <c r="J94" s="6"/>
      <c r="K94" s="6"/>
    </row>
    <row r="95" spans="2:11" ht="144">
      <c r="B95" s="1447" t="s">
        <v>73</v>
      </c>
      <c r="C95" s="93"/>
      <c r="D95" s="46" t="s">
        <v>788</v>
      </c>
      <c r="E95" s="6"/>
      <c r="F95" s="6"/>
      <c r="G95" s="6"/>
      <c r="H95" s="6"/>
      <c r="I95" s="6"/>
      <c r="J95" s="6"/>
      <c r="K95" s="6"/>
    </row>
    <row r="96" spans="2:11" ht="192">
      <c r="B96" s="1448"/>
      <c r="C96" s="93"/>
      <c r="D96" s="46" t="s">
        <v>789</v>
      </c>
      <c r="E96" s="6"/>
      <c r="F96" s="6"/>
      <c r="G96" s="6"/>
      <c r="H96" s="6"/>
      <c r="I96" s="6"/>
      <c r="J96" s="6"/>
      <c r="K96" s="6"/>
    </row>
    <row r="97" spans="2:11" ht="36">
      <c r="B97" s="1448"/>
      <c r="C97" s="93"/>
      <c r="D97" s="46" t="s">
        <v>790</v>
      </c>
      <c r="E97" s="6"/>
      <c r="F97" s="6"/>
      <c r="G97" s="6"/>
      <c r="H97" s="6"/>
      <c r="I97" s="6"/>
      <c r="J97" s="6"/>
      <c r="K97" s="6"/>
    </row>
    <row r="98" spans="2:11" ht="36">
      <c r="B98" s="1448"/>
      <c r="C98" s="93"/>
      <c r="D98" s="46" t="s">
        <v>791</v>
      </c>
      <c r="E98" s="6"/>
      <c r="F98" s="6"/>
      <c r="G98" s="6"/>
      <c r="H98" s="6"/>
      <c r="I98" s="6"/>
      <c r="J98" s="6"/>
      <c r="K98" s="6"/>
    </row>
    <row r="99" spans="2:11" ht="36">
      <c r="B99" s="1448"/>
      <c r="C99" s="93"/>
      <c r="D99" s="46" t="s">
        <v>792</v>
      </c>
      <c r="E99" s="6"/>
      <c r="F99" s="6"/>
      <c r="G99" s="6"/>
      <c r="H99" s="6"/>
      <c r="I99" s="6"/>
      <c r="J99" s="6"/>
      <c r="K99" s="6"/>
    </row>
    <row r="100" spans="2:11" ht="48">
      <c r="B100" s="1448"/>
      <c r="C100" s="93"/>
      <c r="D100" s="46" t="s">
        <v>793</v>
      </c>
      <c r="E100" s="6"/>
      <c r="F100" s="6"/>
      <c r="G100" s="6"/>
      <c r="H100" s="6"/>
      <c r="I100" s="6"/>
      <c r="J100" s="6"/>
      <c r="K100" s="6"/>
    </row>
    <row r="101" spans="2:11" ht="48">
      <c r="B101" s="1448"/>
      <c r="C101" s="93"/>
      <c r="D101" s="46" t="s">
        <v>794</v>
      </c>
      <c r="E101" s="6"/>
      <c r="F101" s="6"/>
      <c r="G101" s="6"/>
      <c r="H101" s="6"/>
      <c r="I101" s="6"/>
      <c r="J101" s="6"/>
      <c r="K101" s="6"/>
    </row>
    <row r="102" spans="2:11" ht="36">
      <c r="B102" s="1448"/>
      <c r="C102" s="93"/>
      <c r="D102" s="26" t="s">
        <v>795</v>
      </c>
      <c r="E102" s="6"/>
      <c r="F102" s="6"/>
      <c r="G102" s="6"/>
      <c r="H102" s="6"/>
      <c r="I102" s="6"/>
      <c r="J102" s="6"/>
      <c r="K102" s="6"/>
    </row>
    <row r="103" spans="2:11" ht="36">
      <c r="B103" s="1448"/>
      <c r="C103" s="93"/>
      <c r="D103" s="26" t="s">
        <v>796</v>
      </c>
      <c r="E103" s="6"/>
      <c r="F103" s="6"/>
      <c r="G103" s="6"/>
      <c r="H103" s="6"/>
      <c r="I103" s="6"/>
      <c r="J103" s="6"/>
      <c r="K103" s="6"/>
    </row>
    <row r="104" spans="2:11" ht="24">
      <c r="B104" s="1448"/>
      <c r="C104" s="93"/>
      <c r="D104" s="26" t="s">
        <v>797</v>
      </c>
      <c r="E104" s="6"/>
      <c r="F104" s="6"/>
      <c r="G104" s="6"/>
      <c r="H104" s="6"/>
      <c r="I104" s="6"/>
      <c r="J104" s="6"/>
      <c r="K104" s="6"/>
    </row>
    <row r="105" spans="2:11" ht="24">
      <c r="B105" s="1448"/>
      <c r="C105" s="93"/>
      <c r="D105" s="26" t="s">
        <v>798</v>
      </c>
      <c r="E105" s="6"/>
      <c r="F105" s="6"/>
      <c r="G105" s="6"/>
      <c r="H105" s="6"/>
      <c r="I105" s="6"/>
      <c r="J105" s="6"/>
      <c r="K105" s="6"/>
    </row>
    <row r="106" spans="2:11" ht="60">
      <c r="B106" s="1448"/>
      <c r="C106" s="93"/>
      <c r="D106" s="26" t="s">
        <v>799</v>
      </c>
      <c r="E106" s="6"/>
      <c r="F106" s="6"/>
      <c r="G106" s="6"/>
      <c r="H106" s="6"/>
      <c r="I106" s="6"/>
      <c r="J106" s="6"/>
      <c r="K106" s="6"/>
    </row>
    <row r="107" spans="2:11" ht="36">
      <c r="B107" s="1448"/>
      <c r="C107" s="93"/>
      <c r="D107" s="26" t="s">
        <v>800</v>
      </c>
      <c r="E107" s="6"/>
      <c r="F107" s="6"/>
      <c r="G107" s="6"/>
      <c r="H107" s="6"/>
      <c r="I107" s="6"/>
      <c r="J107" s="6"/>
      <c r="K107" s="6"/>
    </row>
    <row r="108" spans="2:11" ht="36">
      <c r="B108" s="1448"/>
      <c r="C108" s="93"/>
      <c r="D108" s="26" t="s">
        <v>801</v>
      </c>
      <c r="E108" s="6"/>
      <c r="F108" s="6"/>
      <c r="G108" s="6"/>
      <c r="H108" s="6"/>
      <c r="I108" s="6"/>
      <c r="J108" s="6"/>
      <c r="K108" s="6"/>
    </row>
    <row r="109" spans="2:11" ht="60">
      <c r="B109" s="1448"/>
      <c r="C109" s="93"/>
      <c r="D109" s="26" t="s">
        <v>802</v>
      </c>
      <c r="E109" s="6"/>
      <c r="F109" s="6"/>
      <c r="G109" s="6"/>
      <c r="H109" s="6"/>
      <c r="I109" s="6"/>
      <c r="J109" s="6"/>
      <c r="K109" s="6"/>
    </row>
    <row r="110" spans="2:11" ht="24">
      <c r="B110" s="1448"/>
      <c r="C110" s="93"/>
      <c r="D110" s="26" t="s">
        <v>803</v>
      </c>
      <c r="E110" s="6"/>
      <c r="F110" s="6"/>
      <c r="G110" s="6"/>
      <c r="H110" s="6"/>
      <c r="I110" s="6"/>
      <c r="J110" s="6"/>
      <c r="K110" s="6"/>
    </row>
    <row r="111" spans="2:11" ht="24">
      <c r="B111" s="1448"/>
      <c r="C111" s="93"/>
      <c r="D111" s="26" t="s">
        <v>804</v>
      </c>
      <c r="E111" s="6"/>
      <c r="F111" s="6"/>
      <c r="G111" s="6"/>
      <c r="H111" s="6"/>
      <c r="I111" s="6"/>
      <c r="J111" s="6"/>
      <c r="K111" s="6"/>
    </row>
    <row r="112" spans="2:11">
      <c r="B112" s="1448"/>
      <c r="C112" s="93"/>
      <c r="D112" s="26" t="s">
        <v>805</v>
      </c>
      <c r="E112" s="6"/>
      <c r="F112" s="6"/>
      <c r="G112" s="6"/>
      <c r="H112" s="6"/>
      <c r="I112" s="6"/>
      <c r="J112" s="6"/>
      <c r="K112" s="6"/>
    </row>
    <row r="113" spans="2:11" ht="36">
      <c r="B113" s="1448"/>
      <c r="C113" s="93"/>
      <c r="D113" s="26" t="s">
        <v>806</v>
      </c>
      <c r="E113" s="6"/>
      <c r="F113" s="6"/>
      <c r="G113" s="6"/>
      <c r="H113" s="6"/>
      <c r="I113" s="6"/>
      <c r="J113" s="6"/>
      <c r="K113" s="6"/>
    </row>
    <row r="114" spans="2:11" ht="36">
      <c r="B114" s="1448"/>
      <c r="C114" s="93"/>
      <c r="D114" s="26" t="s">
        <v>807</v>
      </c>
      <c r="E114" s="6"/>
      <c r="F114" s="6"/>
      <c r="G114" s="6"/>
      <c r="H114" s="6"/>
      <c r="I114" s="6"/>
      <c r="J114" s="6"/>
      <c r="K114" s="6"/>
    </row>
    <row r="115" spans="2:11" ht="36">
      <c r="B115" s="1448"/>
      <c r="C115" s="93"/>
      <c r="D115" s="26" t="s">
        <v>808</v>
      </c>
      <c r="E115" s="6"/>
      <c r="F115" s="6"/>
      <c r="G115" s="6"/>
      <c r="H115" s="6"/>
      <c r="I115" s="6"/>
      <c r="J115" s="6"/>
      <c r="K115" s="6"/>
    </row>
    <row r="116" spans="2:11" ht="252">
      <c r="B116" s="1448"/>
      <c r="C116" s="93"/>
      <c r="D116" s="46" t="s">
        <v>809</v>
      </c>
      <c r="E116" s="6"/>
      <c r="F116" s="6"/>
      <c r="G116" s="6"/>
      <c r="H116" s="6"/>
      <c r="I116" s="6"/>
      <c r="J116" s="6"/>
      <c r="K116" s="6"/>
    </row>
    <row r="117" spans="2:11" ht="60.75" thickBot="1">
      <c r="B117" s="1449"/>
      <c r="C117" s="3"/>
      <c r="D117" s="40" t="s">
        <v>810</v>
      </c>
      <c r="E117" s="6"/>
      <c r="F117" s="6"/>
      <c r="G117" s="6"/>
      <c r="H117" s="6"/>
      <c r="I117" s="6"/>
      <c r="J117" s="6"/>
      <c r="K117" s="6"/>
    </row>
    <row r="118" spans="2:11" ht="24">
      <c r="B118" s="1447" t="s">
        <v>90</v>
      </c>
      <c r="C118" s="93"/>
      <c r="D118" s="53" t="s">
        <v>772</v>
      </c>
      <c r="E118" s="6"/>
      <c r="F118" s="6"/>
      <c r="G118" s="6"/>
      <c r="H118" s="6"/>
      <c r="I118" s="6"/>
      <c r="J118" s="6"/>
      <c r="K118" s="6"/>
    </row>
    <row r="119" spans="2:11" ht="20.45" customHeight="1">
      <c r="B119" s="1448"/>
      <c r="C119" s="93"/>
      <c r="D119" s="17"/>
      <c r="E119" s="6"/>
      <c r="F119" s="6"/>
      <c r="G119" s="6"/>
      <c r="H119" s="6"/>
      <c r="I119" s="6"/>
      <c r="J119" s="6"/>
      <c r="K119" s="6"/>
    </row>
    <row r="120" spans="2:11">
      <c r="B120" s="1448"/>
      <c r="C120" s="93"/>
      <c r="D120" s="46" t="s">
        <v>91</v>
      </c>
      <c r="E120" s="6"/>
      <c r="F120" s="6"/>
      <c r="G120" s="6"/>
      <c r="H120" s="6"/>
      <c r="I120" s="6"/>
      <c r="J120" s="6"/>
      <c r="K120" s="6"/>
    </row>
    <row r="121" spans="2:11" ht="37.5">
      <c r="B121" s="1448"/>
      <c r="C121" s="93"/>
      <c r="D121" s="46" t="s">
        <v>811</v>
      </c>
      <c r="E121" s="6"/>
      <c r="F121" s="6"/>
      <c r="G121" s="6"/>
      <c r="H121" s="6"/>
      <c r="I121" s="6"/>
      <c r="J121" s="6"/>
      <c r="K121" s="6"/>
    </row>
    <row r="122" spans="2:11" ht="37.5">
      <c r="B122" s="1448"/>
      <c r="C122" s="93"/>
      <c r="D122" s="46" t="s">
        <v>812</v>
      </c>
      <c r="E122" s="6"/>
      <c r="F122" s="6"/>
      <c r="G122" s="6"/>
      <c r="H122" s="6"/>
      <c r="I122" s="6"/>
      <c r="J122" s="6"/>
      <c r="K122" s="6"/>
    </row>
    <row r="123" spans="2:11" ht="37.5">
      <c r="B123" s="1448"/>
      <c r="C123" s="93"/>
      <c r="D123" s="46" t="s">
        <v>813</v>
      </c>
      <c r="E123" s="6"/>
      <c r="F123" s="6"/>
      <c r="G123" s="6"/>
      <c r="H123" s="6"/>
      <c r="I123" s="6"/>
      <c r="J123" s="6"/>
      <c r="K123" s="6"/>
    </row>
    <row r="124" spans="2:11" ht="37.5">
      <c r="B124" s="1448"/>
      <c r="C124" s="93"/>
      <c r="D124" s="46" t="s">
        <v>814</v>
      </c>
      <c r="E124" s="6"/>
      <c r="F124" s="6"/>
      <c r="G124" s="6"/>
      <c r="H124" s="6"/>
      <c r="I124" s="6"/>
      <c r="J124" s="6"/>
      <c r="K124" s="6"/>
    </row>
    <row r="125" spans="2:11">
      <c r="B125" s="1448"/>
      <c r="C125" s="93"/>
      <c r="D125" s="46" t="s">
        <v>815</v>
      </c>
      <c r="E125" s="6"/>
      <c r="F125" s="6"/>
      <c r="G125" s="6"/>
      <c r="H125" s="6"/>
      <c r="I125" s="6"/>
      <c r="J125" s="6"/>
      <c r="K125" s="6"/>
    </row>
    <row r="126" spans="2:11">
      <c r="B126" s="1448"/>
      <c r="C126" s="93"/>
      <c r="D126" s="46" t="s">
        <v>816</v>
      </c>
      <c r="E126" s="6"/>
      <c r="F126" s="6"/>
      <c r="G126" s="6"/>
      <c r="H126" s="6"/>
      <c r="I126" s="6"/>
      <c r="J126" s="6"/>
      <c r="K126" s="6"/>
    </row>
    <row r="127" spans="2:11">
      <c r="B127" s="1448"/>
      <c r="C127" s="93"/>
      <c r="D127" s="46" t="s">
        <v>817</v>
      </c>
      <c r="E127" s="6"/>
      <c r="F127" s="6"/>
      <c r="G127" s="6"/>
      <c r="H127" s="6"/>
      <c r="I127" s="6"/>
      <c r="J127" s="6"/>
      <c r="K127" s="6"/>
    </row>
    <row r="128" spans="2:11">
      <c r="B128" s="1448"/>
      <c r="C128" s="93"/>
      <c r="D128" s="46" t="s">
        <v>818</v>
      </c>
      <c r="E128" s="6"/>
      <c r="F128" s="6"/>
      <c r="G128" s="6"/>
      <c r="H128" s="6"/>
      <c r="I128" s="6"/>
      <c r="J128" s="6"/>
      <c r="K128" s="6"/>
    </row>
    <row r="129" spans="2:11" ht="84">
      <c r="B129" s="1448"/>
      <c r="C129" s="93"/>
      <c r="D129" s="54" t="s">
        <v>235</v>
      </c>
      <c r="E129" s="6"/>
      <c r="F129" s="6"/>
      <c r="G129" s="6"/>
      <c r="H129" s="6"/>
      <c r="I129" s="6"/>
      <c r="J129" s="6"/>
      <c r="K129" s="6"/>
    </row>
    <row r="130" spans="2:11">
      <c r="B130" s="1448"/>
      <c r="C130" s="93"/>
      <c r="D130" s="46" t="s">
        <v>246</v>
      </c>
      <c r="E130" s="6"/>
      <c r="F130" s="6"/>
      <c r="G130" s="6"/>
      <c r="H130" s="6"/>
      <c r="I130" s="6"/>
      <c r="J130" s="6"/>
      <c r="K130" s="6"/>
    </row>
    <row r="131" spans="2:11" ht="48">
      <c r="B131" s="1448"/>
      <c r="C131" s="93"/>
      <c r="D131" s="53" t="s">
        <v>819</v>
      </c>
      <c r="E131" s="6"/>
      <c r="F131" s="6"/>
      <c r="G131" s="6"/>
      <c r="H131" s="6"/>
      <c r="I131" s="6"/>
      <c r="J131" s="6"/>
      <c r="K131" s="6"/>
    </row>
    <row r="132" spans="2:11">
      <c r="B132" s="1448"/>
      <c r="C132" s="93"/>
      <c r="D132" s="17"/>
      <c r="E132" s="6"/>
      <c r="F132" s="6"/>
      <c r="G132" s="6"/>
      <c r="H132" s="6"/>
      <c r="I132" s="6"/>
      <c r="J132" s="6"/>
      <c r="K132" s="6"/>
    </row>
    <row r="133" spans="2:11">
      <c r="B133" s="1448"/>
      <c r="C133" s="93"/>
      <c r="D133" s="46" t="s">
        <v>91</v>
      </c>
      <c r="E133" s="6"/>
      <c r="F133" s="6"/>
      <c r="G133" s="6"/>
      <c r="H133" s="6"/>
      <c r="I133" s="6"/>
      <c r="J133" s="6"/>
      <c r="K133" s="6"/>
    </row>
    <row r="134" spans="2:11" ht="49.5">
      <c r="B134" s="1448"/>
      <c r="C134" s="93"/>
      <c r="D134" s="46" t="s">
        <v>820</v>
      </c>
      <c r="E134" s="6"/>
      <c r="F134" s="6"/>
      <c r="G134" s="6"/>
      <c r="H134" s="6"/>
      <c r="I134" s="6"/>
      <c r="J134" s="6"/>
      <c r="K134" s="6"/>
    </row>
    <row r="135" spans="2:11" ht="49.5">
      <c r="B135" s="1448"/>
      <c r="C135" s="93"/>
      <c r="D135" s="46" t="s">
        <v>821</v>
      </c>
      <c r="E135" s="6"/>
      <c r="F135" s="6"/>
      <c r="G135" s="6"/>
      <c r="H135" s="6"/>
      <c r="I135" s="6"/>
      <c r="J135" s="6"/>
      <c r="K135" s="6"/>
    </row>
    <row r="136" spans="2:11" ht="38.25" thickBot="1">
      <c r="B136" s="1449"/>
      <c r="C136" s="3"/>
      <c r="D136" s="40" t="s">
        <v>822</v>
      </c>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row r="180" spans="2:11">
      <c r="B180" s="6"/>
      <c r="D180" s="6"/>
      <c r="E180" s="6"/>
      <c r="F180" s="6"/>
      <c r="G180" s="6"/>
      <c r="H180" s="6"/>
      <c r="I180" s="6"/>
      <c r="J180" s="6"/>
      <c r="K180" s="6"/>
    </row>
  </sheetData>
  <mergeCells count="43">
    <mergeCell ref="A1:P1"/>
    <mergeCell ref="A2:P2"/>
    <mergeCell ref="A3:P3"/>
    <mergeCell ref="A4:D4"/>
    <mergeCell ref="A5:P5"/>
    <mergeCell ref="B15:B19"/>
    <mergeCell ref="D21:L21"/>
    <mergeCell ref="D22:D23"/>
    <mergeCell ref="E22:E23"/>
    <mergeCell ref="F22:G22"/>
    <mergeCell ref="H22:K22"/>
    <mergeCell ref="D15:L15"/>
    <mergeCell ref="D20:L20"/>
    <mergeCell ref="F33:G33"/>
    <mergeCell ref="H33:H35"/>
    <mergeCell ref="E34:E35"/>
    <mergeCell ref="F34:F35"/>
    <mergeCell ref="D31:L31"/>
    <mergeCell ref="D32:L32"/>
    <mergeCell ref="B118:B136"/>
    <mergeCell ref="B70:E71"/>
    <mergeCell ref="C22:C23"/>
    <mergeCell ref="B77:B92"/>
    <mergeCell ref="B93:B94"/>
    <mergeCell ref="D93:D94"/>
    <mergeCell ref="B95:B117"/>
    <mergeCell ref="C33:C35"/>
    <mergeCell ref="D33:D35"/>
    <mergeCell ref="B47:E47"/>
    <mergeCell ref="B48:B54"/>
    <mergeCell ref="B56:E56"/>
    <mergeCell ref="B57:B63"/>
    <mergeCell ref="B10:D10"/>
    <mergeCell ref="F10:R10"/>
    <mergeCell ref="F11:R11"/>
    <mergeCell ref="E12:R12"/>
    <mergeCell ref="E13:R13"/>
    <mergeCell ref="K24:K26"/>
    <mergeCell ref="F24:F26"/>
    <mergeCell ref="G24:G26"/>
    <mergeCell ref="H24:H26"/>
    <mergeCell ref="I24:I26"/>
    <mergeCell ref="J24:J26"/>
  </mergeCells>
  <conditionalFormatting sqref="D42">
    <cfRule type="containsText" dxfId="55" priority="7" operator="containsText" text="ERROR">
      <formula>NOT(ISERROR(SEARCH("ERROR",D42)))</formula>
    </cfRule>
  </conditionalFormatting>
  <conditionalFormatting sqref="F11:R11">
    <cfRule type="expression" dxfId="54" priority="4">
      <formula>E11="NO SE REPORTA"</formula>
    </cfRule>
    <cfRule type="expression" dxfId="53" priority="5">
      <formula>E10="NO APLICA"</formula>
    </cfRule>
  </conditionalFormatting>
  <conditionalFormatting sqref="E12:R12">
    <cfRule type="expression" dxfId="52" priority="3">
      <formula>E11="SI SE REPORTA"</formula>
    </cfRule>
  </conditionalFormatting>
  <conditionalFormatting sqref="F10:R10">
    <cfRule type="expression" dxfId="51" priority="1">
      <formula>E10="NO SE REPORTA"</formula>
    </cfRule>
    <cfRule type="expression" dxfId="50" priority="2">
      <formula>E9="NO APLICA"</formula>
    </cfRule>
  </conditionalFormatting>
  <dataValidations count="6">
    <dataValidation type="whole" operator="greaterThanOrEqual" allowBlank="1" showErrorMessage="1" errorTitle="ERROR" error="Escriba un número igual o mayor que 0" promptTitle="ERROR" prompt="Escriba un número igual o mayor que 0" sqref="E17:H17">
      <formula1>0</formula1>
    </dataValidation>
    <dataValidation type="whole" operator="greaterThanOrEqual" allowBlank="1" showInputMessage="1" showErrorMessage="1" errorTitle="ERROR" error="Valor en PESOS (sin centavos)" sqref="H27:K29 E18:E19 G18:H19">
      <formula1>0</formula1>
    </dataValidation>
    <dataValidation type="decimal" allowBlank="1" showInputMessage="1" showErrorMessage="1" errorTitle="ERROR" error="Escriba un valor entre 0% y 100%" sqref="E36:E41 F24:K24 G27:G29 F27:F29">
      <formula1>0</formula1>
      <formula2>1</formula2>
    </dataValidation>
    <dataValidation allowBlank="1" showInputMessage="1" showErrorMessage="1" sqref="H30:K30 D42:E42 F36:G42"/>
    <dataValidation type="list" allowBlank="1" showInputMessage="1" showErrorMessage="1" sqref="E11">
      <formula1>REPORTE</formula1>
    </dataValidation>
    <dataValidation type="list" allowBlank="1" showInputMessage="1" showErrorMessage="1" sqref="E10">
      <formula1>SI</formula1>
    </dataValidation>
  </dataValidations>
  <hyperlinks>
    <hyperlink ref="D92" r:id="rId1"/>
    <hyperlink ref="B9" location="'ANEXO 3'!A1" display="VOLVER AL INDICE"/>
  </hyperlinks>
  <pageMargins left="0.25" right="0.25" top="0.75" bottom="0.75" header="0.3" footer="0.3"/>
  <pageSetup paperSize="178" orientation="landscape" horizontalDpi="1200" verticalDpi="1200" r:id="rId2"/>
  <drawing r:id="rId3"/>
  <legacyDrawing r:id="rId4"/>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U189"/>
  <sheetViews>
    <sheetView showGridLines="0" topLeftCell="A43" zoomScale="91" zoomScaleNormal="91" workbookViewId="0">
      <selection sqref="A1:P1"/>
    </sheetView>
  </sheetViews>
  <sheetFormatPr baseColWidth="10" defaultRowHeight="15"/>
  <cols>
    <col min="1" max="1" width="1.85546875" customWidth="1"/>
    <col min="2" max="2" width="12.85546875" customWidth="1"/>
    <col min="3" max="3" width="5" style="86" bestFit="1" customWidth="1"/>
    <col min="4" max="4" width="39.140625" customWidth="1"/>
    <col min="5" max="5" width="12.140625" customWidth="1"/>
    <col min="9" max="9" width="11.5703125" style="137"/>
  </cols>
  <sheetData>
    <row r="1" spans="1:21" s="490" customFormat="1" ht="100.5" customHeight="1" thickBot="1">
      <c r="A1" s="1334"/>
      <c r="B1" s="1335"/>
      <c r="C1" s="1335"/>
      <c r="D1" s="1335"/>
      <c r="E1" s="1335"/>
      <c r="F1" s="1335"/>
      <c r="G1" s="1335"/>
      <c r="H1" s="1335"/>
      <c r="I1" s="1335"/>
      <c r="J1" s="1335"/>
      <c r="K1" s="1335"/>
      <c r="L1" s="1335"/>
      <c r="M1" s="1335"/>
      <c r="N1" s="1335"/>
      <c r="O1" s="1335"/>
      <c r="P1" s="1336"/>
      <c r="Q1" s="389"/>
      <c r="R1" s="389"/>
    </row>
    <row r="2" spans="1:21" s="491" customFormat="1" ht="16.5" thickBot="1">
      <c r="A2" s="1342" t="str">
        <f>'Datos Generales'!C5</f>
        <v>Corporación Autónoma Regional del Cesar – CORPOCESAR</v>
      </c>
      <c r="B2" s="1343"/>
      <c r="C2" s="1343"/>
      <c r="D2" s="1343"/>
      <c r="E2" s="1343"/>
      <c r="F2" s="1343"/>
      <c r="G2" s="1343"/>
      <c r="H2" s="1343"/>
      <c r="I2" s="1343"/>
      <c r="J2" s="1343"/>
      <c r="K2" s="1343"/>
      <c r="L2" s="1343"/>
      <c r="M2" s="1343"/>
      <c r="N2" s="1343"/>
      <c r="O2" s="1343"/>
      <c r="P2" s="1344"/>
      <c r="Q2" s="389"/>
      <c r="R2" s="389"/>
    </row>
    <row r="3" spans="1:21" s="491" customFormat="1" ht="16.5" thickBot="1">
      <c r="A3" s="1337" t="s">
        <v>1294</v>
      </c>
      <c r="B3" s="1338"/>
      <c r="C3" s="1338"/>
      <c r="D3" s="1338"/>
      <c r="E3" s="1338"/>
      <c r="F3" s="1338"/>
      <c r="G3" s="1338"/>
      <c r="H3" s="1338"/>
      <c r="I3" s="1338"/>
      <c r="J3" s="1338"/>
      <c r="K3" s="1338"/>
      <c r="L3" s="1338"/>
      <c r="M3" s="1338"/>
      <c r="N3" s="1338"/>
      <c r="O3" s="1338"/>
      <c r="P3" s="1339"/>
      <c r="Q3" s="389"/>
      <c r="R3" s="389"/>
    </row>
    <row r="4" spans="1:21" s="491" customFormat="1" ht="16.5" thickBot="1">
      <c r="A4" s="1340" t="s">
        <v>1293</v>
      </c>
      <c r="B4" s="1341"/>
      <c r="C4" s="1341"/>
      <c r="D4" s="1341"/>
      <c r="E4" s="498">
        <v>2022</v>
      </c>
      <c r="F4" s="498"/>
      <c r="G4" s="498"/>
      <c r="H4" s="498"/>
      <c r="I4" s="498"/>
      <c r="J4" s="498"/>
      <c r="K4" s="498"/>
      <c r="L4" s="499"/>
      <c r="M4" s="499"/>
      <c r="N4" s="499"/>
      <c r="O4" s="499"/>
      <c r="P4" s="500"/>
      <c r="Q4" s="389"/>
      <c r="R4" s="389"/>
    </row>
    <row r="5" spans="1:21" s="235" customFormat="1" ht="16.5" customHeight="1" thickBot="1">
      <c r="A5" s="1337" t="s">
        <v>832</v>
      </c>
      <c r="B5" s="1338"/>
      <c r="C5" s="1338"/>
      <c r="D5" s="1338"/>
      <c r="E5" s="1338"/>
      <c r="F5" s="1338"/>
      <c r="G5" s="1338"/>
      <c r="H5" s="1338"/>
      <c r="I5" s="1338"/>
      <c r="J5" s="1338"/>
      <c r="K5" s="1338"/>
      <c r="L5" s="1338"/>
      <c r="M5" s="1338"/>
      <c r="N5" s="1338"/>
      <c r="O5" s="1338"/>
      <c r="P5" s="1339"/>
    </row>
    <row r="6" spans="1:21">
      <c r="B6" s="4" t="s">
        <v>1</v>
      </c>
      <c r="C6" s="94"/>
      <c r="D6" s="6"/>
      <c r="E6" s="73"/>
      <c r="F6" s="6" t="s">
        <v>128</v>
      </c>
      <c r="G6" s="6"/>
      <c r="H6" s="6"/>
      <c r="I6" s="86"/>
      <c r="J6" s="6"/>
      <c r="K6" s="6"/>
    </row>
    <row r="7" spans="1:21" ht="15.75" thickBot="1">
      <c r="B7" s="74"/>
      <c r="C7" s="76"/>
      <c r="D7" s="6"/>
      <c r="E7" s="18"/>
      <c r="F7" s="6" t="s">
        <v>129</v>
      </c>
      <c r="G7" s="6"/>
      <c r="H7" s="6"/>
      <c r="I7" s="86"/>
      <c r="J7" s="6"/>
      <c r="K7" s="6"/>
    </row>
    <row r="8" spans="1:21" ht="15.75" thickBot="1">
      <c r="B8" s="171" t="s">
        <v>1181</v>
      </c>
      <c r="C8" s="213">
        <v>2022</v>
      </c>
      <c r="D8" s="218">
        <f>IF(E10="NO APLICA","NO APLICA",IF(E11="NO SE REPORTA","SIN INFORMACION",+G57))</f>
        <v>0.8431276442739033</v>
      </c>
      <c r="E8" s="214"/>
      <c r="F8" s="6" t="s">
        <v>130</v>
      </c>
      <c r="G8" s="6"/>
      <c r="H8" s="6"/>
      <c r="I8" s="86"/>
      <c r="J8" s="6"/>
      <c r="K8" s="6"/>
    </row>
    <row r="9" spans="1:21">
      <c r="B9" s="462" t="s">
        <v>1182</v>
      </c>
      <c r="D9" s="6"/>
      <c r="E9" s="6"/>
      <c r="F9" s="6"/>
      <c r="G9" s="6"/>
      <c r="H9" s="6"/>
      <c r="I9" s="86"/>
      <c r="J9" s="6"/>
      <c r="K9" s="6"/>
    </row>
    <row r="10" spans="1:21" s="389" customFormat="1">
      <c r="A10" s="235"/>
      <c r="B10" s="1392" t="s">
        <v>1236</v>
      </c>
      <c r="C10" s="1392"/>
      <c r="D10" s="1392"/>
      <c r="E10" s="468" t="s">
        <v>1233</v>
      </c>
      <c r="F10" s="1412" t="str">
        <f>'24POT'!$F$9</f>
        <v>Acuerdo 005 del 22 de mayo de 2020 (Por medio del cual se aprueba el Plan de Accion Institucional 2020 -2023)</v>
      </c>
      <c r="G10" s="1412"/>
      <c r="H10" s="1412"/>
      <c r="I10" s="1412"/>
      <c r="J10" s="1412"/>
      <c r="K10" s="1412"/>
      <c r="L10" s="1412"/>
      <c r="M10" s="1412"/>
      <c r="N10" s="1412"/>
      <c r="O10" s="1412"/>
      <c r="P10" s="1412"/>
      <c r="Q10" s="1412"/>
      <c r="R10" s="1412"/>
      <c r="S10" s="1412"/>
      <c r="T10" s="464"/>
      <c r="U10" s="464"/>
    </row>
    <row r="11" spans="1:21" s="389" customFormat="1" ht="14.45" customHeight="1">
      <c r="A11" s="235"/>
      <c r="B11" s="465"/>
      <c r="C11" s="466"/>
      <c r="D11" s="467" t="str">
        <f>IF(E10="SI APLICA","¿El indicador no se reporta por limitaciones de información disponible? ","")</f>
        <v xml:space="preserve">¿El indicador no se reporta por limitaciones de información disponible? </v>
      </c>
      <c r="E11" s="469" t="s">
        <v>1235</v>
      </c>
      <c r="F11" s="1412"/>
      <c r="G11" s="1412"/>
      <c r="H11" s="1412"/>
      <c r="I11" s="1412"/>
      <c r="J11" s="1412"/>
      <c r="K11" s="1412"/>
      <c r="L11" s="1412"/>
      <c r="M11" s="1412"/>
      <c r="N11" s="1412"/>
      <c r="O11" s="1412"/>
      <c r="P11" s="1412"/>
      <c r="Q11" s="1412"/>
      <c r="R11" s="1412"/>
      <c r="S11" s="1412"/>
    </row>
    <row r="12" spans="1:21" s="389" customFormat="1" ht="31.5" customHeight="1">
      <c r="A12" s="235"/>
      <c r="B12" s="462"/>
      <c r="C12" s="292"/>
      <c r="D12" s="467" t="str">
        <f>IF(E11="SI SE REPORTA","¿Qué programas o proyectos del Plan de Acción están asociados al indicador? ","")</f>
        <v xml:space="preserve">¿Qué programas o proyectos del Plan de Acción están asociados al indicador? </v>
      </c>
      <c r="E12" s="1621" t="s">
        <v>2117</v>
      </c>
      <c r="F12" s="1621"/>
      <c r="G12" s="1621"/>
      <c r="H12" s="1621"/>
      <c r="I12" s="1621"/>
      <c r="J12" s="1621"/>
      <c r="K12" s="1621"/>
      <c r="L12" s="1621"/>
      <c r="M12" s="1621"/>
      <c r="N12" s="1621"/>
      <c r="O12" s="1621"/>
      <c r="P12" s="1621"/>
      <c r="Q12" s="1621"/>
      <c r="R12" s="1621"/>
    </row>
    <row r="13" spans="1:21" s="389" customFormat="1" ht="21.95" customHeight="1">
      <c r="A13" s="235"/>
      <c r="B13" s="462"/>
      <c r="C13" s="292"/>
      <c r="D13" s="467" t="s">
        <v>1238</v>
      </c>
      <c r="E13" s="1395"/>
      <c r="F13" s="1396"/>
      <c r="G13" s="1396"/>
      <c r="H13" s="1396"/>
      <c r="I13" s="1396"/>
      <c r="J13" s="1396"/>
      <c r="K13" s="1396"/>
      <c r="L13" s="1396"/>
      <c r="M13" s="1396"/>
      <c r="N13" s="1396"/>
      <c r="O13" s="1396"/>
      <c r="P13" s="1396"/>
      <c r="Q13" s="1396"/>
      <c r="R13" s="1397"/>
    </row>
    <row r="14" spans="1:21" s="389" customFormat="1" ht="6.95" customHeight="1" thickBot="1">
      <c r="B14" s="462"/>
      <c r="C14" s="86"/>
      <c r="D14" s="6"/>
      <c r="E14" s="6"/>
      <c r="F14" s="6"/>
      <c r="G14" s="6"/>
      <c r="H14" s="6"/>
      <c r="I14" s="86"/>
      <c r="J14" s="6"/>
      <c r="K14" s="6"/>
    </row>
    <row r="15" spans="1:21">
      <c r="B15" s="1447" t="s">
        <v>2</v>
      </c>
      <c r="C15" s="88"/>
      <c r="D15" s="1458" t="s">
        <v>3</v>
      </c>
      <c r="E15" s="1459"/>
      <c r="F15" s="1459"/>
      <c r="G15" s="1459"/>
      <c r="H15" s="1459"/>
      <c r="I15" s="1460"/>
      <c r="J15" s="6"/>
      <c r="K15" s="6"/>
    </row>
    <row r="16" spans="1:21">
      <c r="B16" s="1448"/>
      <c r="C16" s="91"/>
      <c r="D16" s="1561" t="s">
        <v>859</v>
      </c>
      <c r="E16" s="1562"/>
      <c r="F16" s="1562"/>
      <c r="G16" s="1562"/>
      <c r="H16" s="1562"/>
      <c r="I16" s="1563"/>
      <c r="J16" s="6"/>
      <c r="K16" s="6"/>
    </row>
    <row r="17" spans="2:11" ht="15.75" thickBot="1">
      <c r="B17" s="1448"/>
      <c r="C17" s="91"/>
      <c r="D17" s="1499"/>
      <c r="E17" s="1500"/>
      <c r="F17" s="1500"/>
      <c r="G17" s="1500"/>
      <c r="H17" s="1500"/>
      <c r="I17" s="1501"/>
      <c r="J17" s="6"/>
      <c r="K17" s="6"/>
    </row>
    <row r="18" spans="2:11" ht="15.75" thickBot="1">
      <c r="B18" s="1448"/>
      <c r="C18" s="93"/>
      <c r="D18" s="43" t="s">
        <v>150</v>
      </c>
      <c r="E18" s="38" t="s">
        <v>20</v>
      </c>
      <c r="F18" s="38" t="s">
        <v>21</v>
      </c>
      <c r="G18" s="38" t="s">
        <v>22</v>
      </c>
      <c r="H18" s="38" t="s">
        <v>23</v>
      </c>
      <c r="I18" s="89" t="s">
        <v>151</v>
      </c>
      <c r="J18" s="6"/>
      <c r="K18" s="6"/>
    </row>
    <row r="19" spans="2:11" ht="36.75" thickBot="1">
      <c r="B19" s="1448"/>
      <c r="C19" s="93"/>
      <c r="D19" s="127" t="s">
        <v>860</v>
      </c>
      <c r="E19" s="7">
        <v>519</v>
      </c>
      <c r="F19" s="7">
        <v>329</v>
      </c>
      <c r="G19" s="1227">
        <v>2542</v>
      </c>
      <c r="H19" s="7"/>
      <c r="I19" s="147">
        <f>SUM(E19:H19)</f>
        <v>3390</v>
      </c>
      <c r="J19" s="6"/>
      <c r="K19" s="6"/>
    </row>
    <row r="20" spans="2:11" ht="24.75" thickBot="1">
      <c r="B20" s="1448"/>
      <c r="C20" s="93"/>
      <c r="D20" s="127" t="s">
        <v>861</v>
      </c>
      <c r="E20" s="7">
        <v>5</v>
      </c>
      <c r="F20" s="7">
        <v>3</v>
      </c>
      <c r="G20" s="1228">
        <v>26</v>
      </c>
      <c r="H20" s="7"/>
      <c r="I20" s="147">
        <f>SUM(E20:H20)</f>
        <v>34</v>
      </c>
      <c r="J20" s="6"/>
      <c r="K20" s="6"/>
    </row>
    <row r="21" spans="2:11" ht="24.75" thickBot="1">
      <c r="B21" s="1448"/>
      <c r="C21" s="93"/>
      <c r="D21" s="127" t="s">
        <v>862</v>
      </c>
      <c r="E21" s="1229">
        <f>+E19/E20</f>
        <v>103.8</v>
      </c>
      <c r="F21" s="1229">
        <f>+F19/F20</f>
        <v>109.66666666666667</v>
      </c>
      <c r="G21" s="1229">
        <f>+G19/G20</f>
        <v>97.769230769230774</v>
      </c>
      <c r="H21" s="1229" t="e">
        <f>+H19/H20</f>
        <v>#DIV/0!</v>
      </c>
      <c r="I21" s="1229">
        <f>+I19/I20</f>
        <v>99.705882352941174</v>
      </c>
      <c r="J21" s="6"/>
      <c r="K21" s="6"/>
    </row>
    <row r="22" spans="2:11">
      <c r="B22" s="1448"/>
      <c r="C22" s="91"/>
      <c r="D22" s="1458"/>
      <c r="E22" s="1459"/>
      <c r="F22" s="1459"/>
      <c r="G22" s="1459"/>
      <c r="H22" s="1459"/>
      <c r="I22" s="1460"/>
      <c r="J22" s="6"/>
      <c r="K22" s="6"/>
    </row>
    <row r="23" spans="2:11">
      <c r="B23" s="1448"/>
      <c r="C23" s="91"/>
      <c r="D23" s="1561" t="s">
        <v>863</v>
      </c>
      <c r="E23" s="1562"/>
      <c r="F23" s="1562"/>
      <c r="G23" s="1562"/>
      <c r="H23" s="1562"/>
      <c r="I23" s="1563"/>
      <c r="J23" s="6"/>
      <c r="K23" s="6"/>
    </row>
    <row r="24" spans="2:11" ht="15.75" thickBot="1">
      <c r="B24" s="1448"/>
      <c r="C24" s="91"/>
      <c r="D24" s="1467"/>
      <c r="E24" s="1468"/>
      <c r="F24" s="1468"/>
      <c r="G24" s="1468"/>
      <c r="H24" s="1468"/>
      <c r="I24" s="1469"/>
      <c r="J24" s="6"/>
      <c r="K24" s="6"/>
    </row>
    <row r="25" spans="2:11" ht="15.75" thickBot="1">
      <c r="B25" s="1448"/>
      <c r="C25" s="93"/>
      <c r="D25" s="43" t="s">
        <v>150</v>
      </c>
      <c r="E25" s="38" t="s">
        <v>20</v>
      </c>
      <c r="F25" s="38" t="s">
        <v>21</v>
      </c>
      <c r="G25" s="38" t="s">
        <v>22</v>
      </c>
      <c r="H25" s="38" t="s">
        <v>23</v>
      </c>
      <c r="I25" s="89" t="s">
        <v>151</v>
      </c>
      <c r="J25" s="6"/>
      <c r="K25" s="6"/>
    </row>
    <row r="26" spans="2:11" ht="36.75" thickBot="1">
      <c r="B26" s="1448"/>
      <c r="C26" s="93"/>
      <c r="D26" s="524" t="s">
        <v>1459</v>
      </c>
      <c r="E26" s="7">
        <v>6503</v>
      </c>
      <c r="F26" s="7">
        <v>7537</v>
      </c>
      <c r="G26" s="1227">
        <v>14444</v>
      </c>
      <c r="H26" s="7"/>
      <c r="I26" s="147">
        <f>SUM(E26:H26)</f>
        <v>28484</v>
      </c>
      <c r="J26" s="6"/>
      <c r="K26" s="6"/>
    </row>
    <row r="27" spans="2:11" ht="24.75" thickBot="1">
      <c r="B27" s="1448"/>
      <c r="C27" s="93"/>
      <c r="D27" s="127" t="s">
        <v>864</v>
      </c>
      <c r="E27" s="7">
        <v>37</v>
      </c>
      <c r="F27" s="7">
        <v>51</v>
      </c>
      <c r="G27" s="1228">
        <v>80</v>
      </c>
      <c r="H27" s="7"/>
      <c r="I27" s="147">
        <f>SUM(E27:H27)</f>
        <v>168</v>
      </c>
      <c r="J27" s="6"/>
      <c r="K27" s="6"/>
    </row>
    <row r="28" spans="2:11" ht="24.75" thickBot="1">
      <c r="B28" s="1448"/>
      <c r="C28" s="93"/>
      <c r="D28" s="127" t="s">
        <v>865</v>
      </c>
      <c r="E28" s="1229">
        <f>+E26/E27</f>
        <v>175.75675675675674</v>
      </c>
      <c r="F28" s="1229">
        <f>+F26/F27</f>
        <v>147.78431372549019</v>
      </c>
      <c r="G28" s="1229">
        <f>+G26/G27</f>
        <v>180.55</v>
      </c>
      <c r="H28" s="148" t="e">
        <f>+H26/H27</f>
        <v>#DIV/0!</v>
      </c>
      <c r="I28" s="148">
        <f>+I26/I27</f>
        <v>169.54761904761904</v>
      </c>
      <c r="J28" s="6"/>
      <c r="K28" s="6"/>
    </row>
    <row r="29" spans="2:11">
      <c r="B29" s="1448"/>
      <c r="C29" s="91"/>
      <c r="D29" s="1458"/>
      <c r="E29" s="1459"/>
      <c r="F29" s="1459"/>
      <c r="G29" s="1459"/>
      <c r="H29" s="1459"/>
      <c r="I29" s="1460"/>
      <c r="J29" s="6"/>
      <c r="K29" s="6"/>
    </row>
    <row r="30" spans="2:11">
      <c r="B30" s="1448"/>
      <c r="C30" s="91"/>
      <c r="D30" s="1561" t="s">
        <v>866</v>
      </c>
      <c r="E30" s="1562"/>
      <c r="F30" s="1562"/>
      <c r="G30" s="1562"/>
      <c r="H30" s="1562"/>
      <c r="I30" s="1563"/>
      <c r="J30" s="6"/>
      <c r="K30" s="6"/>
    </row>
    <row r="31" spans="2:11" ht="15.75" thickBot="1">
      <c r="B31" s="1448"/>
      <c r="C31" s="91"/>
      <c r="D31" s="1499"/>
      <c r="E31" s="1500"/>
      <c r="F31" s="1500"/>
      <c r="G31" s="1500"/>
      <c r="H31" s="1500"/>
      <c r="I31" s="1501"/>
      <c r="J31" s="6"/>
      <c r="K31" s="6"/>
    </row>
    <row r="32" spans="2:11" ht="15.75" thickBot="1">
      <c r="B32" s="1448"/>
      <c r="C32" s="93"/>
      <c r="D32" s="43" t="s">
        <v>150</v>
      </c>
      <c r="E32" s="38" t="s">
        <v>20</v>
      </c>
      <c r="F32" s="38" t="s">
        <v>21</v>
      </c>
      <c r="G32" s="38" t="s">
        <v>22</v>
      </c>
      <c r="H32" s="38" t="s">
        <v>23</v>
      </c>
      <c r="I32" s="89" t="s">
        <v>151</v>
      </c>
      <c r="J32" s="6"/>
      <c r="K32" s="6"/>
    </row>
    <row r="33" spans="2:11" ht="36.75" thickBot="1">
      <c r="B33" s="1448"/>
      <c r="C33" s="93"/>
      <c r="D33" s="127" t="s">
        <v>867</v>
      </c>
      <c r="E33" s="7">
        <v>1010</v>
      </c>
      <c r="F33" s="7">
        <v>601</v>
      </c>
      <c r="G33" s="1227">
        <v>2076</v>
      </c>
      <c r="H33" s="7"/>
      <c r="I33" s="147">
        <f>SUM(E33:H33)</f>
        <v>3687</v>
      </c>
      <c r="J33" s="6"/>
      <c r="K33" s="6"/>
    </row>
    <row r="34" spans="2:11" ht="24.75" thickBot="1">
      <c r="B34" s="1448"/>
      <c r="C34" s="93"/>
      <c r="D34" s="127" t="s">
        <v>868</v>
      </c>
      <c r="E34" s="7">
        <v>8</v>
      </c>
      <c r="F34" s="7">
        <v>4</v>
      </c>
      <c r="G34" s="1228">
        <v>16</v>
      </c>
      <c r="H34" s="7"/>
      <c r="I34" s="147">
        <f>SUM(E34:H34)</f>
        <v>28</v>
      </c>
      <c r="J34" s="6"/>
      <c r="K34" s="6"/>
    </row>
    <row r="35" spans="2:11" ht="36.75" thickBot="1">
      <c r="B35" s="1448"/>
      <c r="C35" s="93"/>
      <c r="D35" s="127" t="s">
        <v>869</v>
      </c>
      <c r="E35" s="1229">
        <f>+E33/E34</f>
        <v>126.25</v>
      </c>
      <c r="F35" s="1229">
        <f>+F33/F34</f>
        <v>150.25</v>
      </c>
      <c r="G35" s="1229">
        <f>+G33/G34</f>
        <v>129.75</v>
      </c>
      <c r="H35" s="1229" t="e">
        <f>+H33/H34</f>
        <v>#DIV/0!</v>
      </c>
      <c r="I35" s="1229">
        <f>+I33/I34</f>
        <v>131.67857142857142</v>
      </c>
      <c r="J35" s="6"/>
      <c r="K35" s="6"/>
    </row>
    <row r="36" spans="2:11">
      <c r="B36" s="1448"/>
      <c r="C36" s="91"/>
      <c r="D36" s="1458"/>
      <c r="E36" s="1459"/>
      <c r="F36" s="1459"/>
      <c r="G36" s="1459"/>
      <c r="H36" s="1459"/>
      <c r="I36" s="1460"/>
      <c r="J36" s="6"/>
      <c r="K36" s="6"/>
    </row>
    <row r="37" spans="2:11">
      <c r="B37" s="1448"/>
      <c r="C37" s="91"/>
      <c r="D37" s="1561" t="s">
        <v>870</v>
      </c>
      <c r="E37" s="1562"/>
      <c r="F37" s="1562"/>
      <c r="G37" s="1562"/>
      <c r="H37" s="1562"/>
      <c r="I37" s="1563"/>
      <c r="J37" s="6"/>
      <c r="K37" s="6"/>
    </row>
    <row r="38" spans="2:11" ht="15.75" thickBot="1">
      <c r="B38" s="1448"/>
      <c r="C38" s="91"/>
      <c r="D38" s="1499"/>
      <c r="E38" s="1500"/>
      <c r="F38" s="1500"/>
      <c r="G38" s="1500"/>
      <c r="H38" s="1500"/>
      <c r="I38" s="1501"/>
      <c r="J38" s="6"/>
      <c r="K38" s="6"/>
    </row>
    <row r="39" spans="2:11" ht="15.75" thickBot="1">
      <c r="B39" s="1448"/>
      <c r="C39" s="93"/>
      <c r="D39" s="43" t="s">
        <v>150</v>
      </c>
      <c r="E39" s="38" t="s">
        <v>20</v>
      </c>
      <c r="F39" s="38" t="s">
        <v>21</v>
      </c>
      <c r="G39" s="38" t="s">
        <v>22</v>
      </c>
      <c r="H39" s="38" t="s">
        <v>23</v>
      </c>
      <c r="I39" s="89" t="s">
        <v>151</v>
      </c>
      <c r="J39" s="6"/>
      <c r="K39" s="6"/>
    </row>
    <row r="40" spans="2:11" ht="36.75" thickBot="1">
      <c r="B40" s="1448"/>
      <c r="C40" s="93"/>
      <c r="D40" s="127" t="s">
        <v>1460</v>
      </c>
      <c r="E40" s="7">
        <v>887</v>
      </c>
      <c r="F40" s="7">
        <v>658</v>
      </c>
      <c r="G40" s="7">
        <v>389</v>
      </c>
      <c r="H40" s="7"/>
      <c r="I40" s="147">
        <f>SUM(E40:H40)</f>
        <v>1934</v>
      </c>
      <c r="J40" s="6"/>
      <c r="K40" s="6"/>
    </row>
    <row r="41" spans="2:11" ht="36.75" thickBot="1">
      <c r="B41" s="1448"/>
      <c r="C41" s="93"/>
      <c r="D41" s="127" t="s">
        <v>871</v>
      </c>
      <c r="E41" s="7">
        <v>11</v>
      </c>
      <c r="F41" s="7">
        <v>6</v>
      </c>
      <c r="G41" s="7">
        <v>7</v>
      </c>
      <c r="H41" s="7"/>
      <c r="I41" s="147">
        <f>SUM(E41:H41)</f>
        <v>24</v>
      </c>
      <c r="J41" s="6"/>
      <c r="K41" s="6"/>
    </row>
    <row r="42" spans="2:11" ht="36.75" thickBot="1">
      <c r="B42" s="1448"/>
      <c r="C42" s="93"/>
      <c r="D42" s="127" t="s">
        <v>872</v>
      </c>
      <c r="E42" s="1229">
        <f>+E40/E41</f>
        <v>80.63636363636364</v>
      </c>
      <c r="F42" s="1229">
        <f>+F40/F41</f>
        <v>109.66666666666667</v>
      </c>
      <c r="G42" s="1229">
        <f>+G40/G41</f>
        <v>55.571428571428569</v>
      </c>
      <c r="H42" s="1229" t="e">
        <f>+H40/H41</f>
        <v>#DIV/0!</v>
      </c>
      <c r="I42" s="1229">
        <f>+I40/I41</f>
        <v>80.583333333333329</v>
      </c>
      <c r="J42" s="6"/>
      <c r="K42" s="6"/>
    </row>
    <row r="43" spans="2:11">
      <c r="B43" s="1448"/>
      <c r="C43" s="91"/>
      <c r="D43" s="1458"/>
      <c r="E43" s="1459"/>
      <c r="F43" s="1459"/>
      <c r="G43" s="1459"/>
      <c r="H43" s="1459"/>
      <c r="I43" s="1460"/>
      <c r="J43" s="6"/>
      <c r="K43" s="6"/>
    </row>
    <row r="44" spans="2:11">
      <c r="B44" s="1448"/>
      <c r="C44" s="91"/>
      <c r="D44" s="1561" t="s">
        <v>873</v>
      </c>
      <c r="E44" s="1562"/>
      <c r="F44" s="1562"/>
      <c r="G44" s="1562"/>
      <c r="H44" s="1562"/>
      <c r="I44" s="1563"/>
      <c r="J44" s="6"/>
      <c r="K44" s="6"/>
    </row>
    <row r="45" spans="2:11" ht="15.75" thickBot="1">
      <c r="B45" s="1448"/>
      <c r="C45" s="91"/>
      <c r="D45" s="1499"/>
      <c r="E45" s="1500"/>
      <c r="F45" s="1500"/>
      <c r="G45" s="1500"/>
      <c r="H45" s="1500"/>
      <c r="I45" s="1501"/>
      <c r="J45" s="6"/>
      <c r="K45" s="6"/>
    </row>
    <row r="46" spans="2:11" ht="15.75" thickBot="1">
      <c r="B46" s="1448"/>
      <c r="C46" s="93"/>
      <c r="D46" s="43" t="s">
        <v>150</v>
      </c>
      <c r="E46" s="38" t="s">
        <v>20</v>
      </c>
      <c r="F46" s="38" t="s">
        <v>21</v>
      </c>
      <c r="G46" s="38" t="s">
        <v>22</v>
      </c>
      <c r="H46" s="38" t="s">
        <v>23</v>
      </c>
      <c r="I46" s="89" t="s">
        <v>151</v>
      </c>
      <c r="J46" s="6"/>
      <c r="K46" s="6"/>
    </row>
    <row r="47" spans="2:11" ht="36.75" thickBot="1">
      <c r="B47" s="1448"/>
      <c r="C47" s="93"/>
      <c r="D47" s="127" t="s">
        <v>874</v>
      </c>
      <c r="E47" s="7">
        <v>1385</v>
      </c>
      <c r="F47" s="7">
        <v>1656</v>
      </c>
      <c r="G47" s="7">
        <v>1692</v>
      </c>
      <c r="H47" s="7"/>
      <c r="I47" s="147">
        <f>SUM(E47:H47)</f>
        <v>4733</v>
      </c>
      <c r="J47" s="6"/>
      <c r="K47" s="6"/>
    </row>
    <row r="48" spans="2:11" ht="36.75" thickBot="1">
      <c r="B48" s="1448"/>
      <c r="C48" s="93"/>
      <c r="D48" s="127" t="s">
        <v>875</v>
      </c>
      <c r="E48" s="7">
        <v>8</v>
      </c>
      <c r="F48" s="7">
        <v>10</v>
      </c>
      <c r="G48" s="7">
        <v>8</v>
      </c>
      <c r="H48" s="7"/>
      <c r="I48" s="147">
        <f>SUM(E48:H48)</f>
        <v>26</v>
      </c>
      <c r="J48" s="6"/>
      <c r="K48" s="6"/>
    </row>
    <row r="49" spans="2:11" ht="36.75" thickBot="1">
      <c r="B49" s="1449"/>
      <c r="C49" s="3"/>
      <c r="D49" s="127" t="s">
        <v>876</v>
      </c>
      <c r="E49" s="148">
        <f>+E47/E48</f>
        <v>173.125</v>
      </c>
      <c r="F49" s="148">
        <f>+F47/F48</f>
        <v>165.6</v>
      </c>
      <c r="G49" s="148">
        <f>+G47/G48</f>
        <v>211.5</v>
      </c>
      <c r="H49" s="148" t="e">
        <f>+H47/H48</f>
        <v>#DIV/0!</v>
      </c>
      <c r="I49" s="148">
        <f>+I47/I48</f>
        <v>182.03846153846155</v>
      </c>
      <c r="J49" s="6"/>
      <c r="K49" s="6"/>
    </row>
    <row r="50" spans="2:11" s="389" customFormat="1" ht="15.75" thickBot="1"/>
    <row r="51" spans="2:11" s="389" customFormat="1" ht="24.75" thickBot="1">
      <c r="D51" s="288" t="s">
        <v>1225</v>
      </c>
      <c r="E51" s="288" t="s">
        <v>1228</v>
      </c>
      <c r="F51" s="288" t="s">
        <v>1229</v>
      </c>
      <c r="G51" s="425" t="s">
        <v>1230</v>
      </c>
    </row>
    <row r="52" spans="2:11" s="389" customFormat="1" ht="15.75" thickBot="1">
      <c r="D52" s="288" t="str">
        <f>+D16</f>
        <v>Licencias ambientales</v>
      </c>
      <c r="E52" s="148">
        <f>+F21</f>
        <v>109.66666666666667</v>
      </c>
      <c r="F52" s="453">
        <v>120</v>
      </c>
      <c r="G52" s="189">
        <f>IF(F52/E52&gt;1,1,F52/E52)</f>
        <v>1</v>
      </c>
    </row>
    <row r="53" spans="2:11" s="389" customFormat="1" ht="15.75" thickBot="1">
      <c r="D53" s="288" t="str">
        <f>+D23</f>
        <v>Concesiones de agua</v>
      </c>
      <c r="E53" s="148">
        <f>+F28</f>
        <v>147.78431372549019</v>
      </c>
      <c r="F53" s="453">
        <v>130</v>
      </c>
      <c r="G53" s="189">
        <f>IF(F53/E53&gt;1,1,F53/E53)</f>
        <v>0.87966034231126444</v>
      </c>
    </row>
    <row r="54" spans="2:11" s="389" customFormat="1" ht="15.75" thickBot="1">
      <c r="D54" s="288" t="str">
        <f>+D30</f>
        <v>Permisos de vertimiento de agua</v>
      </c>
      <c r="E54" s="148">
        <f>+F35</f>
        <v>150.25</v>
      </c>
      <c r="F54" s="453">
        <v>110</v>
      </c>
      <c r="G54" s="189">
        <f>IF(F54/E54&gt;1,1,F54/E54)</f>
        <v>0.73211314475873546</v>
      </c>
    </row>
    <row r="55" spans="2:11" s="389" customFormat="1" ht="15.75" thickBot="1">
      <c r="D55" s="288" t="str">
        <f>+D37</f>
        <v>Permisos de aprovechamiento forestal</v>
      </c>
      <c r="E55" s="148">
        <f>+F42</f>
        <v>109.66666666666667</v>
      </c>
      <c r="F55" s="453">
        <v>120</v>
      </c>
      <c r="G55" s="189">
        <f>IF(F55/E55&gt;1,1,F55/E55)</f>
        <v>1</v>
      </c>
    </row>
    <row r="56" spans="2:11" s="389" customFormat="1" ht="15.75" thickBot="1">
      <c r="D56" s="288" t="str">
        <f>+D44</f>
        <v>Permisos de emisiones atmosféricas</v>
      </c>
      <c r="E56" s="148">
        <f>+F49</f>
        <v>165.6</v>
      </c>
      <c r="F56" s="453">
        <v>100</v>
      </c>
      <c r="G56" s="189">
        <f>IF(F56/E56&gt;1,1,F56/E56)</f>
        <v>0.60386473429951693</v>
      </c>
    </row>
    <row r="57" spans="2:11" s="389" customFormat="1" ht="24.75" thickBot="1">
      <c r="D57" s="288" t="s">
        <v>1224</v>
      </c>
      <c r="E57" s="148">
        <f>AVERAGE(E53,E55,E56)</f>
        <v>141.01699346405226</v>
      </c>
      <c r="F57" s="148">
        <f>AVERAGE(F53,F55,F56)</f>
        <v>116.66666666666667</v>
      </c>
      <c r="G57" s="521">
        <f>AVERAGE(G52:G56)</f>
        <v>0.8431276442739033</v>
      </c>
    </row>
    <row r="58" spans="2:11" s="389" customFormat="1"/>
    <row r="59" spans="2:11" s="389" customFormat="1" ht="15.75" thickBot="1"/>
    <row r="60" spans="2:11" ht="60" customHeight="1" thickBot="1">
      <c r="B60" s="52" t="s">
        <v>34</v>
      </c>
      <c r="C60" s="205"/>
      <c r="D60" s="1453" t="s">
        <v>877</v>
      </c>
      <c r="E60" s="1454"/>
      <c r="F60" s="1454"/>
      <c r="G60" s="1454"/>
      <c r="H60" s="1454"/>
      <c r="I60" s="1455"/>
      <c r="J60" s="6"/>
      <c r="K60" s="6"/>
    </row>
    <row r="61" spans="2:11" ht="36" customHeight="1" thickBot="1">
      <c r="B61" s="47" t="s">
        <v>36</v>
      </c>
      <c r="C61" s="92"/>
      <c r="D61" s="1453" t="s">
        <v>159</v>
      </c>
      <c r="E61" s="1454"/>
      <c r="F61" s="1454"/>
      <c r="G61" s="1454"/>
      <c r="H61" s="1454"/>
      <c r="I61" s="1455"/>
      <c r="J61" s="6"/>
      <c r="K61" s="6"/>
    </row>
    <row r="62" spans="2:11" ht="15.75" thickBot="1">
      <c r="B62" s="2"/>
      <c r="C62" s="75"/>
      <c r="D62" s="6"/>
      <c r="E62" s="6"/>
      <c r="F62" s="6"/>
      <c r="G62" s="6"/>
      <c r="H62" s="6"/>
      <c r="I62" s="86"/>
      <c r="J62" s="6"/>
      <c r="K62" s="6"/>
    </row>
    <row r="63" spans="2:11" ht="24" customHeight="1" thickBot="1">
      <c r="B63" s="1450" t="s">
        <v>38</v>
      </c>
      <c r="C63" s="1451"/>
      <c r="D63" s="1451"/>
      <c r="E63" s="1452"/>
      <c r="F63" s="6"/>
      <c r="G63" s="6"/>
      <c r="H63" s="6"/>
      <c r="I63" s="86"/>
      <c r="J63" s="6"/>
      <c r="K63" s="6"/>
    </row>
    <row r="64" spans="2:11" ht="60.75" thickBot="1">
      <c r="B64" s="1447">
        <v>1</v>
      </c>
      <c r="C64" s="93"/>
      <c r="D64" s="48" t="s">
        <v>39</v>
      </c>
      <c r="E64" s="617" t="s">
        <v>1413</v>
      </c>
      <c r="F64" s="6"/>
      <c r="G64" s="6"/>
      <c r="H64" s="6"/>
      <c r="I64" s="86"/>
      <c r="J64" s="6"/>
      <c r="K64" s="6"/>
    </row>
    <row r="65" spans="2:11" ht="48.75" thickBot="1">
      <c r="B65" s="1448"/>
      <c r="C65" s="93"/>
      <c r="D65" s="40" t="s">
        <v>40</v>
      </c>
      <c r="E65" s="617" t="s">
        <v>1400</v>
      </c>
      <c r="F65" s="6"/>
      <c r="G65" s="6"/>
      <c r="H65" s="6"/>
      <c r="I65" s="86"/>
      <c r="J65" s="6"/>
      <c r="K65" s="6"/>
    </row>
    <row r="66" spans="2:11" ht="24.75" thickBot="1">
      <c r="B66" s="1448"/>
      <c r="C66" s="93"/>
      <c r="D66" s="40" t="s">
        <v>41</v>
      </c>
      <c r="E66" s="617" t="s">
        <v>1476</v>
      </c>
      <c r="F66" s="6"/>
      <c r="G66" s="6"/>
      <c r="H66" s="6"/>
      <c r="I66" s="86"/>
      <c r="J66" s="6"/>
      <c r="K66" s="6"/>
    </row>
    <row r="67" spans="2:11" ht="15.75" thickBot="1">
      <c r="B67" s="1448"/>
      <c r="C67" s="93"/>
      <c r="D67" s="40" t="s">
        <v>42</v>
      </c>
      <c r="E67" s="617" t="s">
        <v>1390</v>
      </c>
      <c r="F67" s="6"/>
      <c r="G67" s="6"/>
      <c r="H67" s="6"/>
      <c r="I67" s="86"/>
      <c r="J67" s="6"/>
      <c r="K67" s="6"/>
    </row>
    <row r="68" spans="2:11" ht="48.75" thickBot="1">
      <c r="B68" s="1448"/>
      <c r="C68" s="93"/>
      <c r="D68" s="40" t="s">
        <v>43</v>
      </c>
      <c r="E68" s="617" t="s">
        <v>1391</v>
      </c>
      <c r="F68" s="6"/>
      <c r="G68" s="6"/>
      <c r="H68" s="6"/>
      <c r="I68" s="86"/>
      <c r="J68" s="6"/>
      <c r="K68" s="6"/>
    </row>
    <row r="69" spans="2:11" ht="15.75" thickBot="1">
      <c r="B69" s="1448"/>
      <c r="C69" s="93"/>
      <c r="D69" s="40" t="s">
        <v>44</v>
      </c>
      <c r="E69" s="617">
        <v>5748960</v>
      </c>
      <c r="F69" s="6"/>
      <c r="G69" s="6"/>
      <c r="H69" s="6"/>
      <c r="I69" s="86"/>
      <c r="J69" s="6"/>
      <c r="K69" s="6"/>
    </row>
    <row r="70" spans="2:11" ht="60.75" thickBot="1">
      <c r="B70" s="1449"/>
      <c r="C70" s="3"/>
      <c r="D70" s="40" t="s">
        <v>45</v>
      </c>
      <c r="E70" s="617" t="s">
        <v>1407</v>
      </c>
      <c r="F70" s="6"/>
      <c r="G70" s="6"/>
      <c r="H70" s="6"/>
      <c r="I70" s="86"/>
      <c r="J70" s="6"/>
      <c r="K70" s="6"/>
    </row>
    <row r="71" spans="2:11">
      <c r="B71" s="2"/>
      <c r="C71" s="75"/>
      <c r="D71" s="6"/>
      <c r="E71" s="6"/>
      <c r="F71" s="6"/>
      <c r="G71" s="6"/>
      <c r="H71" s="6"/>
      <c r="I71" s="86"/>
      <c r="J71" s="6"/>
      <c r="K71" s="6"/>
    </row>
    <row r="72" spans="2:11">
      <c r="B72" s="1572" t="s">
        <v>46</v>
      </c>
      <c r="C72" s="1572"/>
      <c r="D72" s="1572"/>
      <c r="E72" s="1572"/>
      <c r="F72" s="6"/>
      <c r="G72" s="6"/>
      <c r="H72" s="6"/>
      <c r="I72" s="86"/>
      <c r="J72" s="6"/>
      <c r="K72" s="6"/>
    </row>
    <row r="73" spans="2:11" ht="60">
      <c r="B73" s="1573">
        <v>1</v>
      </c>
      <c r="C73" s="1174"/>
      <c r="D73" s="1175" t="s">
        <v>39</v>
      </c>
      <c r="E73" s="1224" t="s">
        <v>47</v>
      </c>
      <c r="F73" s="6"/>
      <c r="G73" s="6"/>
      <c r="H73" s="6"/>
      <c r="I73" s="86"/>
      <c r="J73" s="6"/>
      <c r="K73" s="6"/>
    </row>
    <row r="74" spans="2:11" ht="84">
      <c r="B74" s="1573"/>
      <c r="C74" s="1174"/>
      <c r="D74" s="1224" t="s">
        <v>40</v>
      </c>
      <c r="E74" s="1224" t="s">
        <v>160</v>
      </c>
      <c r="F74" s="6"/>
      <c r="G74" s="6"/>
      <c r="H74" s="6"/>
      <c r="I74" s="86"/>
      <c r="J74" s="6"/>
      <c r="K74" s="6"/>
    </row>
    <row r="75" spans="2:11">
      <c r="B75" s="1573"/>
      <c r="C75" s="1174"/>
      <c r="D75" s="1224" t="s">
        <v>41</v>
      </c>
      <c r="E75" s="1230"/>
      <c r="F75" s="6"/>
      <c r="G75" s="6"/>
      <c r="H75" s="6"/>
      <c r="I75" s="86"/>
      <c r="J75" s="6"/>
      <c r="K75" s="6"/>
    </row>
    <row r="76" spans="2:11">
      <c r="B76" s="1573"/>
      <c r="C76" s="1174"/>
      <c r="D76" s="1224" t="s">
        <v>42</v>
      </c>
      <c r="E76" s="1230"/>
      <c r="F76" s="6"/>
      <c r="G76" s="6"/>
      <c r="H76" s="6"/>
      <c r="I76" s="86"/>
      <c r="J76" s="6"/>
      <c r="K76" s="6"/>
    </row>
    <row r="77" spans="2:11">
      <c r="B77" s="1573"/>
      <c r="C77" s="1174"/>
      <c r="D77" s="1224" t="s">
        <v>43</v>
      </c>
      <c r="E77" s="1230"/>
      <c r="F77" s="6"/>
      <c r="G77" s="6"/>
      <c r="H77" s="6"/>
      <c r="I77" s="86"/>
      <c r="J77" s="6"/>
      <c r="K77" s="6"/>
    </row>
    <row r="78" spans="2:11">
      <c r="B78" s="1573"/>
      <c r="C78" s="1174"/>
      <c r="D78" s="1224" t="s">
        <v>44</v>
      </c>
      <c r="E78" s="1230"/>
      <c r="F78" s="6"/>
      <c r="G78" s="6"/>
      <c r="H78" s="6"/>
      <c r="I78" s="86"/>
      <c r="J78" s="6"/>
      <c r="K78" s="6"/>
    </row>
    <row r="79" spans="2:11">
      <c r="B79" s="1573"/>
      <c r="C79" s="1174"/>
      <c r="D79" s="1224" t="s">
        <v>45</v>
      </c>
      <c r="E79" s="1230"/>
      <c r="F79" s="6"/>
      <c r="G79" s="6"/>
      <c r="H79" s="6"/>
      <c r="I79" s="86"/>
      <c r="J79" s="6"/>
      <c r="K79" s="6"/>
    </row>
    <row r="80" spans="2:11" ht="15.75" thickBot="1">
      <c r="B80" s="2"/>
      <c r="C80" s="75"/>
      <c r="D80" s="6"/>
      <c r="E80" s="6"/>
      <c r="F80" s="6"/>
      <c r="G80" s="6"/>
      <c r="H80" s="6"/>
      <c r="I80" s="86"/>
      <c r="J80" s="6"/>
      <c r="K80" s="6"/>
    </row>
    <row r="81" spans="2:11" ht="15" customHeight="1" thickBot="1">
      <c r="B81" s="119" t="s">
        <v>49</v>
      </c>
      <c r="C81" s="120"/>
      <c r="D81" s="120"/>
      <c r="E81" s="121"/>
      <c r="G81" s="6"/>
      <c r="H81" s="6"/>
      <c r="I81" s="86"/>
      <c r="J81" s="6"/>
      <c r="K81" s="6"/>
    </row>
    <row r="82" spans="2:11" ht="24.75" thickBot="1">
      <c r="B82" s="47" t="s">
        <v>50</v>
      </c>
      <c r="C82" s="40" t="s">
        <v>51</v>
      </c>
      <c r="D82" s="40" t="s">
        <v>52</v>
      </c>
      <c r="E82" s="40" t="s">
        <v>53</v>
      </c>
      <c r="F82" s="6"/>
      <c r="G82" s="6"/>
      <c r="H82" s="6"/>
      <c r="I82" s="86"/>
      <c r="J82" s="6"/>
    </row>
    <row r="83" spans="2:11" ht="72.75" thickBot="1">
      <c r="B83" s="49">
        <v>42401</v>
      </c>
      <c r="C83" s="40">
        <v>0.01</v>
      </c>
      <c r="D83" s="50" t="s">
        <v>878</v>
      </c>
      <c r="E83" s="40"/>
      <c r="F83" s="6"/>
      <c r="G83" s="6"/>
      <c r="H83" s="6"/>
      <c r="I83" s="86"/>
      <c r="J83" s="6"/>
    </row>
    <row r="84" spans="2:11" ht="15.75" thickBot="1">
      <c r="B84" s="2"/>
      <c r="C84" s="75"/>
      <c r="D84" s="6"/>
      <c r="E84" s="6"/>
      <c r="F84" s="6"/>
      <c r="G84" s="6"/>
      <c r="H84" s="6"/>
      <c r="I84" s="86"/>
      <c r="J84" s="6"/>
      <c r="K84" s="6"/>
    </row>
    <row r="85" spans="2:11" ht="15.75" thickBot="1">
      <c r="B85" s="416" t="s">
        <v>55</v>
      </c>
      <c r="C85" s="95"/>
      <c r="D85" s="6"/>
      <c r="E85" s="6"/>
      <c r="F85" s="6"/>
      <c r="G85" s="6"/>
      <c r="H85" s="6"/>
      <c r="I85" s="86"/>
      <c r="J85" s="6"/>
      <c r="K85" s="6"/>
    </row>
    <row r="86" spans="2:11">
      <c r="B86" s="1604"/>
      <c r="C86" s="1605"/>
      <c r="D86" s="1606"/>
      <c r="E86" s="6"/>
      <c r="F86" s="6"/>
      <c r="G86" s="6"/>
      <c r="H86" s="6"/>
      <c r="I86" s="86"/>
      <c r="J86" s="6"/>
      <c r="K86" s="6"/>
    </row>
    <row r="87" spans="2:11" ht="15.75" thickBot="1">
      <c r="B87" s="1607"/>
      <c r="C87" s="1608"/>
      <c r="D87" s="1609"/>
      <c r="E87" s="6"/>
      <c r="F87" s="6"/>
      <c r="G87" s="6"/>
      <c r="H87" s="6"/>
      <c r="I87" s="86"/>
      <c r="J87" s="6"/>
      <c r="K87" s="6"/>
    </row>
    <row r="88" spans="2:11" ht="15.75" thickBot="1">
      <c r="B88" s="6"/>
      <c r="D88" s="6"/>
      <c r="E88" s="6"/>
      <c r="F88" s="6"/>
      <c r="G88" s="6"/>
      <c r="H88" s="6"/>
      <c r="I88" s="86"/>
      <c r="J88" s="6"/>
      <c r="K88" s="6"/>
    </row>
    <row r="89" spans="2:11" ht="24.75" thickBot="1">
      <c r="B89" s="51" t="s">
        <v>56</v>
      </c>
      <c r="C89" s="96"/>
      <c r="D89" s="6"/>
      <c r="E89" s="6"/>
      <c r="F89" s="6"/>
      <c r="G89" s="6"/>
      <c r="H89" s="6"/>
      <c r="I89" s="86"/>
      <c r="J89" s="6"/>
      <c r="K89" s="6"/>
    </row>
    <row r="90" spans="2:11" ht="15.75" thickBot="1">
      <c r="B90" s="2"/>
      <c r="C90" s="75"/>
      <c r="D90" s="6"/>
      <c r="E90" s="6"/>
      <c r="F90" s="6"/>
      <c r="G90" s="6"/>
      <c r="H90" s="6"/>
      <c r="I90" s="86"/>
      <c r="J90" s="6"/>
      <c r="K90" s="6"/>
    </row>
    <row r="91" spans="2:11" ht="120">
      <c r="B91" s="1447" t="s">
        <v>57</v>
      </c>
      <c r="C91" s="104"/>
      <c r="D91" s="63" t="s">
        <v>833</v>
      </c>
      <c r="E91" s="6"/>
      <c r="F91" s="6"/>
      <c r="G91" s="6"/>
      <c r="H91" s="6"/>
      <c r="I91" s="86"/>
      <c r="J91" s="6"/>
      <c r="K91" s="6"/>
    </row>
    <row r="92" spans="2:11" ht="96.75" thickBot="1">
      <c r="B92" s="1449"/>
      <c r="C92" s="3"/>
      <c r="D92" s="40" t="s">
        <v>834</v>
      </c>
      <c r="E92" s="6"/>
      <c r="F92" s="6"/>
      <c r="G92" s="6"/>
      <c r="H92" s="6"/>
      <c r="I92" s="86"/>
      <c r="J92" s="6"/>
      <c r="K92" s="6"/>
    </row>
    <row r="93" spans="2:11">
      <c r="B93" s="1447" t="s">
        <v>59</v>
      </c>
      <c r="C93" s="93"/>
      <c r="D93" s="53" t="s">
        <v>60</v>
      </c>
      <c r="E93" s="6"/>
      <c r="F93" s="6"/>
      <c r="G93" s="6"/>
      <c r="H93" s="6"/>
      <c r="I93" s="86"/>
      <c r="J93" s="6"/>
      <c r="K93" s="6"/>
    </row>
    <row r="94" spans="2:11" ht="96">
      <c r="B94" s="1448"/>
      <c r="C94" s="93"/>
      <c r="D94" s="46" t="s">
        <v>835</v>
      </c>
      <c r="E94" s="6"/>
      <c r="F94" s="6"/>
      <c r="G94" s="6"/>
      <c r="H94" s="6"/>
      <c r="I94" s="86"/>
      <c r="J94" s="6"/>
      <c r="K94" s="6"/>
    </row>
    <row r="95" spans="2:11">
      <c r="B95" s="1448"/>
      <c r="C95" s="93"/>
      <c r="D95" s="53" t="s">
        <v>134</v>
      </c>
      <c r="E95" s="6"/>
      <c r="F95" s="6"/>
      <c r="G95" s="6"/>
      <c r="H95" s="6"/>
      <c r="I95" s="86"/>
      <c r="J95" s="6"/>
      <c r="K95" s="6"/>
    </row>
    <row r="96" spans="2:11">
      <c r="B96" s="1448"/>
      <c r="C96" s="93"/>
      <c r="D96" s="46" t="s">
        <v>64</v>
      </c>
      <c r="E96" s="6"/>
      <c r="F96" s="6"/>
      <c r="G96" s="6"/>
      <c r="H96" s="6"/>
      <c r="I96" s="86"/>
      <c r="J96" s="6"/>
      <c r="K96" s="6"/>
    </row>
    <row r="97" spans="2:11">
      <c r="B97" s="1448"/>
      <c r="C97" s="93"/>
      <c r="D97" s="46" t="s">
        <v>65</v>
      </c>
      <c r="E97" s="6"/>
      <c r="F97" s="6"/>
      <c r="G97" s="6"/>
      <c r="H97" s="6"/>
      <c r="I97" s="86"/>
      <c r="J97" s="6"/>
      <c r="K97" s="6"/>
    </row>
    <row r="98" spans="2:11">
      <c r="B98" s="1448"/>
      <c r="C98" s="93"/>
      <c r="D98" s="46" t="s">
        <v>836</v>
      </c>
      <c r="E98" s="6"/>
      <c r="F98" s="6"/>
      <c r="G98" s="6"/>
      <c r="H98" s="6"/>
      <c r="I98" s="86"/>
      <c r="J98" s="6"/>
      <c r="K98" s="6"/>
    </row>
    <row r="99" spans="2:11">
      <c r="B99" s="1448"/>
      <c r="C99" s="93"/>
      <c r="D99" s="46" t="s">
        <v>837</v>
      </c>
      <c r="E99" s="6"/>
      <c r="F99" s="6"/>
      <c r="G99" s="6"/>
      <c r="H99" s="6"/>
      <c r="I99" s="86"/>
      <c r="J99" s="6"/>
      <c r="K99" s="6"/>
    </row>
    <row r="100" spans="2:11" ht="24">
      <c r="B100" s="1448"/>
      <c r="C100" s="93"/>
      <c r="D100" s="46" t="s">
        <v>838</v>
      </c>
      <c r="E100" s="6"/>
      <c r="F100" s="6"/>
      <c r="G100" s="6"/>
      <c r="H100" s="6"/>
      <c r="I100" s="86"/>
      <c r="J100" s="6"/>
      <c r="K100" s="6"/>
    </row>
    <row r="101" spans="2:11" ht="24">
      <c r="B101" s="1448"/>
      <c r="C101" s="93"/>
      <c r="D101" s="46" t="s">
        <v>839</v>
      </c>
      <c r="E101" s="6"/>
      <c r="F101" s="6"/>
      <c r="G101" s="6"/>
      <c r="H101" s="6"/>
      <c r="I101" s="86"/>
      <c r="J101" s="6"/>
      <c r="K101" s="6"/>
    </row>
    <row r="102" spans="2:11" ht="48">
      <c r="B102" s="1448"/>
      <c r="C102" s="93"/>
      <c r="D102" s="46" t="s">
        <v>840</v>
      </c>
      <c r="E102" s="6"/>
      <c r="F102" s="6"/>
      <c r="G102" s="6"/>
      <c r="H102" s="6"/>
      <c r="I102" s="86"/>
      <c r="J102" s="6"/>
      <c r="K102" s="6"/>
    </row>
    <row r="103" spans="2:11" ht="36.75" thickBot="1">
      <c r="B103" s="1449"/>
      <c r="C103" s="3"/>
      <c r="D103" s="40" t="s">
        <v>841</v>
      </c>
      <c r="E103" s="6"/>
      <c r="F103" s="6"/>
      <c r="G103" s="6"/>
      <c r="H103" s="6"/>
      <c r="I103" s="86"/>
      <c r="J103" s="6"/>
      <c r="K103" s="6"/>
    </row>
    <row r="104" spans="2:11" ht="24.75" thickBot="1">
      <c r="B104" s="47" t="s">
        <v>72</v>
      </c>
      <c r="C104" s="3"/>
      <c r="D104" s="40"/>
      <c r="E104" s="6"/>
      <c r="F104" s="6"/>
      <c r="G104" s="6"/>
      <c r="H104" s="6"/>
      <c r="I104" s="86"/>
      <c r="J104" s="6"/>
      <c r="K104" s="6"/>
    </row>
    <row r="105" spans="2:11" ht="216">
      <c r="B105" s="1447" t="s">
        <v>73</v>
      </c>
      <c r="C105" s="93"/>
      <c r="D105" s="46" t="s">
        <v>842</v>
      </c>
      <c r="E105" s="6"/>
      <c r="F105" s="6"/>
      <c r="G105" s="6"/>
      <c r="H105" s="6"/>
      <c r="I105" s="86"/>
      <c r="J105" s="6"/>
      <c r="K105" s="6"/>
    </row>
    <row r="106" spans="2:11" ht="60">
      <c r="B106" s="1448"/>
      <c r="C106" s="93"/>
      <c r="D106" s="46" t="s">
        <v>843</v>
      </c>
      <c r="E106" s="6"/>
      <c r="F106" s="6"/>
      <c r="G106" s="6"/>
      <c r="H106" s="6"/>
      <c r="I106" s="86"/>
      <c r="J106" s="6"/>
      <c r="K106" s="6"/>
    </row>
    <row r="107" spans="2:11" ht="60">
      <c r="B107" s="1448"/>
      <c r="C107" s="93"/>
      <c r="D107" s="46" t="s">
        <v>844</v>
      </c>
      <c r="E107" s="6"/>
      <c r="F107" s="6"/>
      <c r="G107" s="6"/>
      <c r="H107" s="6"/>
      <c r="I107" s="86"/>
      <c r="J107" s="6"/>
      <c r="K107" s="6"/>
    </row>
    <row r="108" spans="2:11" ht="132">
      <c r="B108" s="1448"/>
      <c r="C108" s="93"/>
      <c r="D108" s="46" t="s">
        <v>845</v>
      </c>
      <c r="E108" s="6"/>
      <c r="F108" s="6"/>
      <c r="G108" s="6"/>
      <c r="H108" s="6"/>
      <c r="I108" s="86"/>
      <c r="J108" s="6"/>
      <c r="K108" s="6"/>
    </row>
    <row r="109" spans="2:11" ht="156">
      <c r="B109" s="1448"/>
      <c r="C109" s="93"/>
      <c r="D109" s="46" t="s">
        <v>846</v>
      </c>
      <c r="E109" s="6"/>
      <c r="F109" s="6"/>
      <c r="G109" s="6"/>
      <c r="H109" s="6"/>
      <c r="I109" s="86"/>
      <c r="J109" s="6"/>
      <c r="K109" s="6"/>
    </row>
    <row r="110" spans="2:11" ht="84">
      <c r="B110" s="1448"/>
      <c r="C110" s="93"/>
      <c r="D110" s="46" t="s">
        <v>847</v>
      </c>
      <c r="E110" s="6"/>
      <c r="F110" s="6"/>
      <c r="G110" s="6"/>
      <c r="H110" s="6"/>
      <c r="I110" s="86"/>
      <c r="J110" s="6"/>
      <c r="K110" s="6"/>
    </row>
    <row r="111" spans="2:11" ht="60.75" thickBot="1">
      <c r="B111" s="1449"/>
      <c r="C111" s="3"/>
      <c r="D111" s="40" t="s">
        <v>848</v>
      </c>
      <c r="E111" s="6"/>
      <c r="F111" s="6"/>
      <c r="G111" s="6"/>
      <c r="H111" s="6"/>
      <c r="I111" s="86"/>
      <c r="J111" s="6"/>
      <c r="K111" s="6"/>
    </row>
    <row r="112" spans="2:11" ht="36">
      <c r="B112" s="1447" t="s">
        <v>90</v>
      </c>
      <c r="C112" s="93"/>
      <c r="D112" s="53" t="s">
        <v>832</v>
      </c>
      <c r="E112" s="6"/>
      <c r="F112" s="6"/>
      <c r="G112" s="6"/>
      <c r="H112" s="6"/>
      <c r="I112" s="86"/>
      <c r="J112" s="6"/>
      <c r="K112" s="6"/>
    </row>
    <row r="113" spans="2:11">
      <c r="B113" s="1448"/>
      <c r="C113" s="93"/>
      <c r="D113" s="17"/>
      <c r="E113" s="6"/>
      <c r="F113" s="6"/>
      <c r="G113" s="6"/>
      <c r="H113" s="6"/>
      <c r="I113" s="86"/>
      <c r="J113" s="6"/>
      <c r="K113" s="6"/>
    </row>
    <row r="114" spans="2:11">
      <c r="B114" s="1448"/>
      <c r="C114" s="93"/>
      <c r="D114" s="46" t="s">
        <v>91</v>
      </c>
      <c r="E114" s="6"/>
      <c r="F114" s="6"/>
      <c r="G114" s="6"/>
      <c r="H114" s="6"/>
      <c r="I114" s="86"/>
      <c r="J114" s="6"/>
      <c r="K114" s="6"/>
    </row>
    <row r="115" spans="2:11" ht="24">
      <c r="B115" s="1448"/>
      <c r="C115" s="93"/>
      <c r="D115" s="46" t="s">
        <v>849</v>
      </c>
      <c r="E115" s="6"/>
      <c r="F115" s="6"/>
      <c r="G115" s="6"/>
      <c r="H115" s="6"/>
      <c r="I115" s="86"/>
      <c r="J115" s="6"/>
      <c r="K115" s="6"/>
    </row>
    <row r="116" spans="2:11" ht="24">
      <c r="B116" s="1448"/>
      <c r="C116" s="93"/>
      <c r="D116" s="46" t="s">
        <v>850</v>
      </c>
      <c r="E116" s="6"/>
      <c r="F116" s="6"/>
      <c r="G116" s="6"/>
      <c r="H116" s="6"/>
      <c r="I116" s="86"/>
      <c r="J116" s="6"/>
      <c r="K116" s="6"/>
    </row>
    <row r="117" spans="2:11" ht="48">
      <c r="B117" s="1448"/>
      <c r="C117" s="93"/>
      <c r="D117" s="46" t="s">
        <v>851</v>
      </c>
      <c r="E117" s="6"/>
      <c r="F117" s="6"/>
      <c r="G117" s="6"/>
      <c r="H117" s="6"/>
      <c r="I117" s="86"/>
      <c r="J117" s="6"/>
      <c r="K117" s="6"/>
    </row>
    <row r="118" spans="2:11" ht="60">
      <c r="B118" s="1448"/>
      <c r="C118" s="93"/>
      <c r="D118" s="46" t="s">
        <v>852</v>
      </c>
      <c r="E118" s="6"/>
      <c r="F118" s="6"/>
      <c r="G118" s="6"/>
      <c r="H118" s="6"/>
      <c r="I118" s="86"/>
      <c r="J118" s="6"/>
      <c r="K118" s="6"/>
    </row>
    <row r="119" spans="2:11" ht="60">
      <c r="B119" s="1448"/>
      <c r="C119" s="93"/>
      <c r="D119" s="58" t="s">
        <v>853</v>
      </c>
      <c r="E119" s="6"/>
      <c r="F119" s="6"/>
      <c r="G119" s="6"/>
      <c r="H119" s="6"/>
      <c r="I119" s="86"/>
      <c r="J119" s="6"/>
      <c r="K119" s="6"/>
    </row>
    <row r="120" spans="2:11" ht="24">
      <c r="B120" s="1448"/>
      <c r="C120" s="93"/>
      <c r="D120" s="46" t="s">
        <v>854</v>
      </c>
      <c r="E120" s="6"/>
      <c r="F120" s="6"/>
      <c r="G120" s="6"/>
      <c r="H120" s="6"/>
      <c r="I120" s="86"/>
      <c r="J120" s="6"/>
      <c r="K120" s="6"/>
    </row>
    <row r="121" spans="2:11" ht="24">
      <c r="B121" s="1448"/>
      <c r="C121" s="93"/>
      <c r="D121" s="46" t="s">
        <v>855</v>
      </c>
      <c r="E121" s="6"/>
      <c r="F121" s="6"/>
      <c r="G121" s="6"/>
      <c r="H121" s="6"/>
      <c r="I121" s="86"/>
      <c r="J121" s="6"/>
      <c r="K121" s="6"/>
    </row>
    <row r="122" spans="2:11" ht="24">
      <c r="B122" s="1448"/>
      <c r="C122" s="93"/>
      <c r="D122" s="46" t="s">
        <v>856</v>
      </c>
      <c r="E122" s="6"/>
      <c r="F122" s="6"/>
      <c r="G122" s="6"/>
      <c r="H122" s="6"/>
      <c r="I122" s="86"/>
      <c r="J122" s="6"/>
      <c r="K122" s="6"/>
    </row>
    <row r="123" spans="2:11" ht="36">
      <c r="B123" s="1448"/>
      <c r="C123" s="93"/>
      <c r="D123" s="46" t="s">
        <v>857</v>
      </c>
      <c r="E123" s="6"/>
      <c r="F123" s="6"/>
      <c r="G123" s="6"/>
      <c r="H123" s="6"/>
      <c r="I123" s="86"/>
      <c r="J123" s="6"/>
      <c r="K123" s="6"/>
    </row>
    <row r="124" spans="2:11" ht="24.75" thickBot="1">
      <c r="B124" s="1449"/>
      <c r="C124" s="3"/>
      <c r="D124" s="40" t="s">
        <v>858</v>
      </c>
      <c r="E124" s="6"/>
      <c r="F124" s="6"/>
      <c r="G124" s="6"/>
      <c r="H124" s="6"/>
      <c r="I124" s="86"/>
      <c r="J124" s="6"/>
      <c r="K124" s="6"/>
    </row>
    <row r="125" spans="2:11">
      <c r="B125" s="6"/>
      <c r="D125" s="6"/>
      <c r="E125" s="6"/>
      <c r="F125" s="6"/>
      <c r="G125" s="6"/>
      <c r="H125" s="6"/>
      <c r="I125" s="86"/>
      <c r="J125" s="6"/>
      <c r="K125" s="6"/>
    </row>
    <row r="126" spans="2:11">
      <c r="B126" s="6"/>
      <c r="D126" s="6"/>
      <c r="E126" s="6"/>
      <c r="F126" s="6"/>
      <c r="G126" s="6"/>
      <c r="H126" s="6"/>
      <c r="I126" s="86"/>
      <c r="J126" s="6"/>
      <c r="K126" s="6"/>
    </row>
    <row r="127" spans="2:11">
      <c r="B127" s="6"/>
      <c r="D127" s="6"/>
      <c r="E127" s="6"/>
      <c r="F127" s="6"/>
      <c r="G127" s="6"/>
      <c r="H127" s="6"/>
      <c r="I127" s="86"/>
      <c r="J127" s="6"/>
      <c r="K127" s="6"/>
    </row>
    <row r="128" spans="2:11">
      <c r="B128" s="6"/>
      <c r="D128" s="6"/>
      <c r="E128" s="6"/>
      <c r="F128" s="6"/>
      <c r="G128" s="6"/>
      <c r="H128" s="6"/>
      <c r="I128" s="86"/>
      <c r="J128" s="6"/>
      <c r="K128" s="6"/>
    </row>
    <row r="129" spans="2:11">
      <c r="B129" s="6"/>
      <c r="D129" s="6"/>
      <c r="E129" s="6"/>
      <c r="F129" s="6"/>
      <c r="G129" s="6"/>
      <c r="H129" s="6"/>
      <c r="I129" s="86"/>
      <c r="J129" s="6"/>
      <c r="K129" s="6"/>
    </row>
    <row r="130" spans="2:11">
      <c r="B130" s="6"/>
      <c r="D130" s="6"/>
      <c r="E130" s="6"/>
      <c r="F130" s="6"/>
      <c r="G130" s="6"/>
      <c r="H130" s="6"/>
      <c r="I130" s="86"/>
      <c r="J130" s="6"/>
      <c r="K130" s="6"/>
    </row>
    <row r="131" spans="2:11">
      <c r="B131" s="6"/>
      <c r="D131" s="6"/>
      <c r="E131" s="6"/>
      <c r="F131" s="6"/>
      <c r="G131" s="6"/>
      <c r="H131" s="6"/>
      <c r="I131" s="86"/>
      <c r="J131" s="6"/>
      <c r="K131" s="6"/>
    </row>
    <row r="132" spans="2:11">
      <c r="B132" s="6"/>
      <c r="D132" s="6"/>
      <c r="E132" s="6"/>
      <c r="F132" s="6"/>
      <c r="G132" s="6"/>
      <c r="H132" s="6"/>
      <c r="I132" s="86"/>
      <c r="J132" s="6"/>
      <c r="K132" s="6"/>
    </row>
    <row r="133" spans="2:11">
      <c r="B133" s="6"/>
      <c r="D133" s="6"/>
      <c r="E133" s="6"/>
      <c r="F133" s="6"/>
      <c r="G133" s="6"/>
      <c r="H133" s="6"/>
      <c r="I133" s="86"/>
      <c r="J133" s="6"/>
      <c r="K133" s="6"/>
    </row>
    <row r="134" spans="2:11">
      <c r="B134" s="6"/>
      <c r="D134" s="6"/>
      <c r="E134" s="6"/>
      <c r="F134" s="6"/>
      <c r="G134" s="6"/>
      <c r="H134" s="6"/>
      <c r="I134" s="86"/>
      <c r="J134" s="6"/>
      <c r="K134" s="6"/>
    </row>
    <row r="135" spans="2:11">
      <c r="B135" s="6"/>
      <c r="D135" s="6"/>
      <c r="E135" s="6"/>
      <c r="F135" s="6"/>
      <c r="G135" s="6"/>
      <c r="H135" s="6"/>
      <c r="I135" s="86"/>
      <c r="J135" s="6"/>
      <c r="K135" s="6"/>
    </row>
    <row r="136" spans="2:11">
      <c r="B136" s="6"/>
      <c r="D136" s="6"/>
      <c r="E136" s="6"/>
      <c r="F136" s="6"/>
      <c r="G136" s="6"/>
      <c r="H136" s="6"/>
      <c r="I136" s="86"/>
      <c r="J136" s="6"/>
      <c r="K136" s="6"/>
    </row>
    <row r="137" spans="2:11">
      <c r="B137" s="6"/>
      <c r="D137" s="6"/>
      <c r="E137" s="6"/>
      <c r="F137" s="6"/>
      <c r="G137" s="6"/>
      <c r="H137" s="6"/>
      <c r="I137" s="86"/>
      <c r="J137" s="6"/>
      <c r="K137" s="6"/>
    </row>
    <row r="138" spans="2:11">
      <c r="B138" s="6"/>
      <c r="D138" s="6"/>
      <c r="E138" s="6"/>
      <c r="F138" s="6"/>
      <c r="G138" s="6"/>
      <c r="H138" s="6"/>
      <c r="I138" s="86"/>
      <c r="J138" s="6"/>
      <c r="K138" s="6"/>
    </row>
    <row r="139" spans="2:11">
      <c r="B139" s="6"/>
      <c r="D139" s="6"/>
      <c r="E139" s="6"/>
      <c r="F139" s="6"/>
      <c r="G139" s="6"/>
      <c r="H139" s="6"/>
      <c r="I139" s="86"/>
      <c r="J139" s="6"/>
      <c r="K139" s="6"/>
    </row>
    <row r="140" spans="2:11">
      <c r="B140" s="6"/>
      <c r="D140" s="6"/>
      <c r="E140" s="6"/>
      <c r="F140" s="6"/>
      <c r="G140" s="6"/>
      <c r="H140" s="6"/>
      <c r="I140" s="86"/>
      <c r="J140" s="6"/>
      <c r="K140" s="6"/>
    </row>
    <row r="141" spans="2:11">
      <c r="B141" s="6"/>
      <c r="D141" s="6"/>
      <c r="E141" s="6"/>
      <c r="F141" s="6"/>
      <c r="G141" s="6"/>
      <c r="H141" s="6"/>
      <c r="I141" s="86"/>
      <c r="J141" s="6"/>
      <c r="K141" s="6"/>
    </row>
    <row r="142" spans="2:11">
      <c r="B142" s="6"/>
      <c r="D142" s="6"/>
      <c r="E142" s="6"/>
      <c r="F142" s="6"/>
      <c r="G142" s="6"/>
      <c r="H142" s="6"/>
      <c r="I142" s="86"/>
      <c r="J142" s="6"/>
      <c r="K142" s="6"/>
    </row>
    <row r="143" spans="2:11">
      <c r="B143" s="6"/>
      <c r="D143" s="6"/>
      <c r="E143" s="6"/>
      <c r="F143" s="6"/>
      <c r="G143" s="6"/>
      <c r="H143" s="6"/>
      <c r="I143" s="86"/>
      <c r="J143" s="6"/>
      <c r="K143" s="6"/>
    </row>
    <row r="144" spans="2:11">
      <c r="B144" s="6"/>
      <c r="D144" s="6"/>
      <c r="E144" s="6"/>
      <c r="F144" s="6"/>
      <c r="G144" s="6"/>
      <c r="H144" s="6"/>
      <c r="I144" s="86"/>
      <c r="J144" s="6"/>
      <c r="K144" s="6"/>
    </row>
    <row r="145" spans="2:11">
      <c r="B145" s="6"/>
      <c r="D145" s="6"/>
      <c r="E145" s="6"/>
      <c r="F145" s="6"/>
      <c r="G145" s="6"/>
      <c r="H145" s="6"/>
      <c r="I145" s="86"/>
      <c r="J145" s="6"/>
      <c r="K145" s="6"/>
    </row>
    <row r="146" spans="2:11">
      <c r="B146" s="6"/>
      <c r="D146" s="6"/>
      <c r="E146" s="6"/>
      <c r="F146" s="6"/>
      <c r="G146" s="6"/>
      <c r="H146" s="6"/>
      <c r="I146" s="86"/>
      <c r="J146" s="6"/>
      <c r="K146" s="6"/>
    </row>
    <row r="147" spans="2:11">
      <c r="B147" s="6"/>
      <c r="D147" s="6"/>
      <c r="E147" s="6"/>
      <c r="F147" s="6"/>
      <c r="G147" s="6"/>
      <c r="H147" s="6"/>
      <c r="I147" s="86"/>
      <c r="J147" s="6"/>
      <c r="K147" s="6"/>
    </row>
    <row r="148" spans="2:11">
      <c r="B148" s="6"/>
      <c r="D148" s="6"/>
      <c r="E148" s="6"/>
      <c r="F148" s="6"/>
      <c r="G148" s="6"/>
      <c r="H148" s="6"/>
      <c r="I148" s="86"/>
      <c r="J148" s="6"/>
      <c r="K148" s="6"/>
    </row>
    <row r="149" spans="2:11">
      <c r="B149" s="6"/>
      <c r="D149" s="6"/>
      <c r="E149" s="6"/>
      <c r="F149" s="6"/>
      <c r="G149" s="6"/>
      <c r="H149" s="6"/>
      <c r="I149" s="86"/>
      <c r="J149" s="6"/>
      <c r="K149" s="6"/>
    </row>
    <row r="150" spans="2:11">
      <c r="B150" s="6"/>
      <c r="D150" s="6"/>
      <c r="E150" s="6"/>
      <c r="F150" s="6"/>
      <c r="G150" s="6"/>
      <c r="H150" s="6"/>
      <c r="I150" s="86"/>
      <c r="J150" s="6"/>
      <c r="K150" s="6"/>
    </row>
    <row r="151" spans="2:11">
      <c r="B151" s="6"/>
      <c r="D151" s="6"/>
      <c r="E151" s="6"/>
      <c r="F151" s="6"/>
      <c r="G151" s="6"/>
      <c r="H151" s="6"/>
      <c r="I151" s="86"/>
      <c r="J151" s="6"/>
      <c r="K151" s="6"/>
    </row>
    <row r="152" spans="2:11">
      <c r="B152" s="6"/>
      <c r="D152" s="6"/>
      <c r="E152" s="6"/>
      <c r="F152" s="6"/>
      <c r="G152" s="6"/>
      <c r="H152" s="6"/>
      <c r="I152" s="86"/>
      <c r="J152" s="6"/>
      <c r="K152" s="6"/>
    </row>
    <row r="153" spans="2:11">
      <c r="B153" s="6"/>
      <c r="D153" s="6"/>
      <c r="E153" s="6"/>
      <c r="F153" s="6"/>
      <c r="G153" s="6"/>
      <c r="H153" s="6"/>
      <c r="I153" s="86"/>
      <c r="J153" s="6"/>
      <c r="K153" s="6"/>
    </row>
    <row r="154" spans="2:11">
      <c r="B154" s="6"/>
      <c r="D154" s="6"/>
      <c r="E154" s="6"/>
      <c r="F154" s="6"/>
      <c r="G154" s="6"/>
      <c r="H154" s="6"/>
      <c r="I154" s="86"/>
      <c r="J154" s="6"/>
      <c r="K154" s="6"/>
    </row>
    <row r="155" spans="2:11">
      <c r="B155" s="6"/>
      <c r="D155" s="6"/>
      <c r="E155" s="6"/>
      <c r="F155" s="6"/>
      <c r="G155" s="6"/>
      <c r="H155" s="6"/>
      <c r="I155" s="86"/>
      <c r="J155" s="6"/>
      <c r="K155" s="6"/>
    </row>
    <row r="156" spans="2:11">
      <c r="B156" s="6"/>
      <c r="D156" s="6"/>
      <c r="E156" s="6"/>
      <c r="F156" s="6"/>
      <c r="G156" s="6"/>
      <c r="H156" s="6"/>
      <c r="I156" s="86"/>
      <c r="J156" s="6"/>
      <c r="K156" s="6"/>
    </row>
    <row r="157" spans="2:11">
      <c r="B157" s="6"/>
      <c r="D157" s="6"/>
      <c r="E157" s="6"/>
      <c r="F157" s="6"/>
      <c r="G157" s="6"/>
      <c r="H157" s="6"/>
      <c r="I157" s="86"/>
      <c r="J157" s="6"/>
      <c r="K157" s="6"/>
    </row>
    <row r="158" spans="2:11">
      <c r="B158" s="6"/>
      <c r="D158" s="6"/>
      <c r="E158" s="6"/>
      <c r="F158" s="6"/>
      <c r="G158" s="6"/>
      <c r="H158" s="6"/>
      <c r="I158" s="86"/>
      <c r="J158" s="6"/>
      <c r="K158" s="6"/>
    </row>
    <row r="159" spans="2:11">
      <c r="B159" s="6"/>
      <c r="D159" s="6"/>
      <c r="E159" s="6"/>
      <c r="F159" s="6"/>
      <c r="G159" s="6"/>
      <c r="H159" s="6"/>
      <c r="I159" s="86"/>
      <c r="J159" s="6"/>
      <c r="K159" s="6"/>
    </row>
    <row r="160" spans="2:11">
      <c r="B160" s="6"/>
      <c r="D160" s="6"/>
      <c r="E160" s="6"/>
      <c r="F160" s="6"/>
      <c r="G160" s="6"/>
      <c r="H160" s="6"/>
      <c r="I160" s="86"/>
      <c r="J160" s="6"/>
      <c r="K160" s="6"/>
    </row>
    <row r="161" spans="2:11">
      <c r="B161" s="6"/>
      <c r="D161" s="6"/>
      <c r="E161" s="6"/>
      <c r="F161" s="6"/>
      <c r="G161" s="6"/>
      <c r="H161" s="6"/>
      <c r="I161" s="86"/>
      <c r="J161" s="6"/>
      <c r="K161" s="6"/>
    </row>
    <row r="162" spans="2:11">
      <c r="B162" s="6"/>
      <c r="D162" s="6"/>
      <c r="E162" s="6"/>
      <c r="F162" s="6"/>
      <c r="G162" s="6"/>
      <c r="H162" s="6"/>
      <c r="I162" s="86"/>
      <c r="J162" s="6"/>
      <c r="K162" s="6"/>
    </row>
    <row r="163" spans="2:11">
      <c r="B163" s="6"/>
      <c r="D163" s="6"/>
      <c r="E163" s="6"/>
      <c r="F163" s="6"/>
      <c r="G163" s="6"/>
      <c r="H163" s="6"/>
      <c r="I163" s="86"/>
      <c r="J163" s="6"/>
      <c r="K163" s="6"/>
    </row>
    <row r="164" spans="2:11">
      <c r="B164" s="6"/>
      <c r="D164" s="6"/>
      <c r="E164" s="6"/>
      <c r="F164" s="6"/>
      <c r="G164" s="6"/>
      <c r="H164" s="6"/>
      <c r="I164" s="86"/>
      <c r="J164" s="6"/>
      <c r="K164" s="6"/>
    </row>
    <row r="165" spans="2:11">
      <c r="B165" s="6"/>
      <c r="D165" s="6"/>
      <c r="E165" s="6"/>
      <c r="F165" s="6"/>
      <c r="G165" s="6"/>
      <c r="H165" s="6"/>
      <c r="I165" s="86"/>
      <c r="J165" s="6"/>
      <c r="K165" s="6"/>
    </row>
    <row r="166" spans="2:11">
      <c r="B166" s="6"/>
      <c r="D166" s="6"/>
      <c r="E166" s="6"/>
      <c r="F166" s="6"/>
      <c r="G166" s="6"/>
      <c r="H166" s="6"/>
      <c r="I166" s="86"/>
      <c r="J166" s="6"/>
      <c r="K166" s="6"/>
    </row>
    <row r="167" spans="2:11">
      <c r="B167" s="6"/>
      <c r="D167" s="6"/>
      <c r="E167" s="6"/>
      <c r="F167" s="6"/>
      <c r="G167" s="6"/>
      <c r="H167" s="6"/>
      <c r="I167" s="86"/>
      <c r="J167" s="6"/>
      <c r="K167" s="6"/>
    </row>
    <row r="168" spans="2:11">
      <c r="B168" s="6"/>
      <c r="D168" s="6"/>
      <c r="E168" s="6"/>
      <c r="F168" s="6"/>
      <c r="G168" s="6"/>
      <c r="H168" s="6"/>
      <c r="I168" s="86"/>
      <c r="J168" s="6"/>
      <c r="K168" s="6"/>
    </row>
    <row r="169" spans="2:11">
      <c r="B169" s="6"/>
      <c r="D169" s="6"/>
      <c r="E169" s="6"/>
      <c r="F169" s="6"/>
      <c r="G169" s="6"/>
      <c r="H169" s="6"/>
      <c r="I169" s="86"/>
      <c r="J169" s="6"/>
      <c r="K169" s="6"/>
    </row>
    <row r="170" spans="2:11">
      <c r="B170" s="6"/>
      <c r="D170" s="6"/>
      <c r="E170" s="6"/>
      <c r="F170" s="6"/>
      <c r="G170" s="6"/>
      <c r="H170" s="6"/>
      <c r="I170" s="86"/>
      <c r="J170" s="6"/>
      <c r="K170" s="6"/>
    </row>
    <row r="171" spans="2:11">
      <c r="B171" s="6"/>
      <c r="D171" s="6"/>
      <c r="E171" s="6"/>
      <c r="F171" s="6"/>
      <c r="G171" s="6"/>
      <c r="H171" s="6"/>
      <c r="I171" s="86"/>
      <c r="J171" s="6"/>
      <c r="K171" s="6"/>
    </row>
    <row r="172" spans="2:11">
      <c r="B172" s="6"/>
      <c r="D172" s="6"/>
      <c r="E172" s="6"/>
      <c r="F172" s="6"/>
      <c r="G172" s="6"/>
      <c r="H172" s="6"/>
      <c r="I172" s="86"/>
      <c r="J172" s="6"/>
      <c r="K172" s="6"/>
    </row>
    <row r="173" spans="2:11">
      <c r="B173" s="6"/>
      <c r="D173" s="6"/>
      <c r="E173" s="6"/>
      <c r="F173" s="6"/>
      <c r="G173" s="6"/>
      <c r="H173" s="6"/>
      <c r="I173" s="86"/>
      <c r="J173" s="6"/>
      <c r="K173" s="6"/>
    </row>
    <row r="174" spans="2:11">
      <c r="B174" s="6"/>
      <c r="D174" s="6"/>
      <c r="E174" s="6"/>
      <c r="F174" s="6"/>
      <c r="G174" s="6"/>
      <c r="H174" s="6"/>
      <c r="I174" s="86"/>
      <c r="J174" s="6"/>
      <c r="K174" s="6"/>
    </row>
    <row r="175" spans="2:11">
      <c r="B175" s="6"/>
      <c r="D175" s="6"/>
      <c r="E175" s="6"/>
      <c r="F175" s="6"/>
      <c r="G175" s="6"/>
      <c r="H175" s="6"/>
      <c r="I175" s="86"/>
      <c r="J175" s="6"/>
      <c r="K175" s="6"/>
    </row>
    <row r="176" spans="2:11">
      <c r="B176" s="6"/>
      <c r="D176" s="6"/>
      <c r="E176" s="6"/>
      <c r="F176" s="6"/>
      <c r="G176" s="6"/>
      <c r="H176" s="6"/>
      <c r="I176" s="86"/>
      <c r="J176" s="6"/>
      <c r="K176" s="6"/>
    </row>
    <row r="177" spans="2:11">
      <c r="B177" s="6"/>
      <c r="D177" s="6"/>
      <c r="E177" s="6"/>
      <c r="F177" s="6"/>
      <c r="G177" s="6"/>
      <c r="H177" s="6"/>
      <c r="I177" s="86"/>
      <c r="J177" s="6"/>
      <c r="K177" s="6"/>
    </row>
    <row r="178" spans="2:11">
      <c r="B178" s="6"/>
      <c r="D178" s="6"/>
      <c r="E178" s="6"/>
      <c r="F178" s="6"/>
      <c r="G178" s="6"/>
      <c r="H178" s="6"/>
      <c r="I178" s="86"/>
      <c r="J178" s="6"/>
      <c r="K178" s="6"/>
    </row>
    <row r="179" spans="2:11">
      <c r="B179" s="6"/>
      <c r="D179" s="6"/>
      <c r="E179" s="6"/>
      <c r="F179" s="6"/>
      <c r="G179" s="6"/>
      <c r="H179" s="6"/>
      <c r="I179" s="86"/>
      <c r="J179" s="6"/>
      <c r="K179" s="6"/>
    </row>
    <row r="180" spans="2:11">
      <c r="B180" s="6"/>
      <c r="D180" s="6"/>
      <c r="E180" s="6"/>
      <c r="F180" s="6"/>
      <c r="G180" s="6"/>
      <c r="H180" s="6"/>
      <c r="I180" s="86"/>
      <c r="J180" s="6"/>
      <c r="K180" s="6"/>
    </row>
    <row r="181" spans="2:11">
      <c r="B181" s="6"/>
      <c r="D181" s="6"/>
      <c r="E181" s="6"/>
      <c r="F181" s="6"/>
      <c r="G181" s="6"/>
      <c r="H181" s="6"/>
      <c r="I181" s="86"/>
      <c r="J181" s="6"/>
      <c r="K181" s="6"/>
    </row>
    <row r="182" spans="2:11">
      <c r="B182" s="6"/>
      <c r="D182" s="6"/>
      <c r="E182" s="6"/>
      <c r="F182" s="6"/>
      <c r="G182" s="6"/>
      <c r="H182" s="6"/>
      <c r="I182" s="86"/>
      <c r="J182" s="6"/>
      <c r="K182" s="6"/>
    </row>
    <row r="183" spans="2:11">
      <c r="B183" s="6"/>
      <c r="D183" s="6"/>
      <c r="E183" s="6"/>
      <c r="F183" s="6"/>
      <c r="G183" s="6"/>
      <c r="H183" s="6"/>
      <c r="I183" s="86"/>
      <c r="J183" s="6"/>
      <c r="K183" s="6"/>
    </row>
    <row r="184" spans="2:11">
      <c r="B184" s="6"/>
      <c r="D184" s="6"/>
      <c r="E184" s="6"/>
      <c r="F184" s="6"/>
      <c r="G184" s="6"/>
      <c r="H184" s="6"/>
      <c r="I184" s="86"/>
      <c r="J184" s="6"/>
      <c r="K184" s="6"/>
    </row>
    <row r="185" spans="2:11">
      <c r="B185" s="6"/>
      <c r="D185" s="6"/>
      <c r="E185" s="6"/>
      <c r="F185" s="6"/>
      <c r="G185" s="6"/>
      <c r="H185" s="6"/>
      <c r="I185" s="86"/>
      <c r="J185" s="6"/>
      <c r="K185" s="6"/>
    </row>
    <row r="186" spans="2:11">
      <c r="B186" s="6"/>
      <c r="D186" s="6"/>
      <c r="E186" s="6"/>
      <c r="F186" s="6"/>
      <c r="G186" s="6"/>
      <c r="H186" s="6"/>
      <c r="I186" s="86"/>
      <c r="J186" s="6"/>
      <c r="K186" s="6"/>
    </row>
    <row r="187" spans="2:11">
      <c r="B187" s="6"/>
      <c r="D187" s="6"/>
      <c r="E187" s="6"/>
      <c r="F187" s="6"/>
      <c r="G187" s="6"/>
      <c r="H187" s="6"/>
      <c r="I187" s="86"/>
      <c r="J187" s="6"/>
      <c r="K187" s="6"/>
    </row>
    <row r="188" spans="2:11">
      <c r="B188" s="6"/>
      <c r="D188" s="6"/>
      <c r="E188" s="6"/>
      <c r="F188" s="6"/>
      <c r="G188" s="6"/>
      <c r="H188" s="6"/>
      <c r="I188" s="86"/>
      <c r="J188" s="6"/>
      <c r="K188" s="6"/>
    </row>
    <row r="189" spans="2:11">
      <c r="B189" s="6"/>
      <c r="D189" s="6"/>
      <c r="E189" s="6"/>
      <c r="F189" s="6"/>
      <c r="G189" s="6"/>
      <c r="H189" s="6"/>
      <c r="I189" s="86"/>
      <c r="J189" s="6"/>
      <c r="K189" s="6"/>
    </row>
  </sheetData>
  <sheetProtection insertColumns="0" insertRows="0"/>
  <mergeCells count="37">
    <mergeCell ref="A1:P1"/>
    <mergeCell ref="A2:P2"/>
    <mergeCell ref="A3:P3"/>
    <mergeCell ref="A4:D4"/>
    <mergeCell ref="A5:P5"/>
    <mergeCell ref="B86:D87"/>
    <mergeCell ref="D61:I61"/>
    <mergeCell ref="B63:E63"/>
    <mergeCell ref="B64:B70"/>
    <mergeCell ref="B72:E72"/>
    <mergeCell ref="B73:B79"/>
    <mergeCell ref="D38:I38"/>
    <mergeCell ref="D43:I43"/>
    <mergeCell ref="D44:I44"/>
    <mergeCell ref="D45:I45"/>
    <mergeCell ref="D60:I60"/>
    <mergeCell ref="D37:I37"/>
    <mergeCell ref="B91:B92"/>
    <mergeCell ref="B93:B103"/>
    <mergeCell ref="B105:B111"/>
    <mergeCell ref="B112:B124"/>
    <mergeCell ref="B15:B49"/>
    <mergeCell ref="D15:I15"/>
    <mergeCell ref="D16:I16"/>
    <mergeCell ref="D17:I17"/>
    <mergeCell ref="D22:I22"/>
    <mergeCell ref="D23:I23"/>
    <mergeCell ref="D24:I24"/>
    <mergeCell ref="D29:I29"/>
    <mergeCell ref="D30:I30"/>
    <mergeCell ref="D31:I31"/>
    <mergeCell ref="D36:I36"/>
    <mergeCell ref="B10:D10"/>
    <mergeCell ref="F10:S10"/>
    <mergeCell ref="F11:S11"/>
    <mergeCell ref="E12:R12"/>
    <mergeCell ref="E13:R13"/>
  </mergeCells>
  <conditionalFormatting sqref="F11:S11">
    <cfRule type="expression" dxfId="49" priority="4">
      <formula>E11="NO SE REPORTA"</formula>
    </cfRule>
    <cfRule type="expression" dxfId="48" priority="5">
      <formula>E10="NO APLICA"</formula>
    </cfRule>
  </conditionalFormatting>
  <conditionalFormatting sqref="E12:R12">
    <cfRule type="expression" dxfId="47" priority="3">
      <formula>E11="SI SE REPORTA"</formula>
    </cfRule>
  </conditionalFormatting>
  <conditionalFormatting sqref="F10:S10">
    <cfRule type="expression" dxfId="46" priority="1">
      <formula>E10="NO SE REPORTA"</formula>
    </cfRule>
    <cfRule type="expression" dxfId="45" priority="2">
      <formula>E9="NO APLICA"</formula>
    </cfRule>
  </conditionalFormatting>
  <dataValidations xWindow="979" yWindow="476" count="4">
    <dataValidation type="whole" operator="greaterThanOrEqual" allowBlank="1" showErrorMessage="1" errorTitle="ERROR" error="Escriba un número igual o mayor que 0" promptTitle="ERROR" prompt="Escriba un número igual o mayor que 0" sqref="H26:H27 E40:H41 H19:H20 E47:H48 E19:F20 E26:F27 E33:F34 H33:H34">
      <formula1>0</formula1>
    </dataValidation>
    <dataValidation allowBlank="1" showInputMessage="1" showErrorMessage="1" sqref="E49:H49 E52:E57 I47:I49 F57:G57 E21:H21 I26:I28 E28:H28 E35:I35 I33:I34 I40:I42 E42:H42 G52:G56"/>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ignoredErrors>
    <ignoredError sqref="G52 G54" evalError="1"/>
  </ignoredErrors>
  <drawing r:id="rId2"/>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U195"/>
  <sheetViews>
    <sheetView showGridLines="0" topLeftCell="A3" zoomScale="86" zoomScaleNormal="86" workbookViewId="0">
      <selection activeCell="O21" sqref="O21"/>
    </sheetView>
  </sheetViews>
  <sheetFormatPr baseColWidth="10" defaultRowHeight="15"/>
  <cols>
    <col min="1" max="1" width="1.85546875" customWidth="1"/>
    <col min="2" max="2" width="12.85546875" customWidth="1"/>
    <col min="3" max="3" width="5" style="86" bestFit="1" customWidth="1"/>
    <col min="4" max="4" width="34.85546875" customWidth="1"/>
    <col min="5" max="5" width="12.140625" customWidth="1"/>
    <col min="9" max="9" width="11.5703125" style="137"/>
    <col min="11" max="11" width="11.85546875" bestFit="1" customWidth="1"/>
  </cols>
  <sheetData>
    <row r="1" spans="1:21" s="490" customFormat="1" ht="100.5" customHeight="1" thickBot="1">
      <c r="A1" s="1334"/>
      <c r="B1" s="1335"/>
      <c r="C1" s="1335"/>
      <c r="D1" s="1335"/>
      <c r="E1" s="1335"/>
      <c r="F1" s="1335"/>
      <c r="G1" s="1335"/>
      <c r="H1" s="1335"/>
      <c r="I1" s="1335"/>
      <c r="J1" s="1335"/>
      <c r="K1" s="1335"/>
      <c r="L1" s="1335"/>
      <c r="M1" s="1335"/>
      <c r="N1" s="1335"/>
      <c r="O1" s="1335"/>
      <c r="P1" s="1336"/>
      <c r="Q1" s="389"/>
      <c r="R1" s="389"/>
    </row>
    <row r="2" spans="1:21" s="491" customFormat="1" ht="16.5" thickBot="1">
      <c r="A2" s="1342" t="str">
        <f>'Datos Generales'!C5</f>
        <v>Corporación Autónoma Regional del Cesar – CORPOCESAR</v>
      </c>
      <c r="B2" s="1343"/>
      <c r="C2" s="1343"/>
      <c r="D2" s="1343"/>
      <c r="E2" s="1343"/>
      <c r="F2" s="1343"/>
      <c r="G2" s="1343"/>
      <c r="H2" s="1343"/>
      <c r="I2" s="1343"/>
      <c r="J2" s="1343"/>
      <c r="K2" s="1343"/>
      <c r="L2" s="1343"/>
      <c r="M2" s="1343"/>
      <c r="N2" s="1343"/>
      <c r="O2" s="1343"/>
      <c r="P2" s="1344"/>
      <c r="Q2" s="389"/>
      <c r="R2" s="389"/>
    </row>
    <row r="3" spans="1:21" s="491" customFormat="1" ht="16.5" thickBot="1">
      <c r="A3" s="1337" t="s">
        <v>1294</v>
      </c>
      <c r="B3" s="1338"/>
      <c r="C3" s="1338"/>
      <c r="D3" s="1338"/>
      <c r="E3" s="1338"/>
      <c r="F3" s="1338"/>
      <c r="G3" s="1338"/>
      <c r="H3" s="1338"/>
      <c r="I3" s="1338"/>
      <c r="J3" s="1338"/>
      <c r="K3" s="1338"/>
      <c r="L3" s="1338"/>
      <c r="M3" s="1338"/>
      <c r="N3" s="1338"/>
      <c r="O3" s="1338"/>
      <c r="P3" s="1339"/>
      <c r="Q3" s="389"/>
      <c r="R3" s="389"/>
    </row>
    <row r="4" spans="1:21" s="491" customFormat="1" ht="16.5" thickBot="1">
      <c r="A4" s="1340" t="s">
        <v>1293</v>
      </c>
      <c r="B4" s="1341"/>
      <c r="C4" s="1341"/>
      <c r="D4" s="1341"/>
      <c r="E4" s="498">
        <v>2022</v>
      </c>
      <c r="F4" s="498"/>
      <c r="G4" s="498"/>
      <c r="H4" s="498"/>
      <c r="I4" s="498"/>
      <c r="J4" s="498"/>
      <c r="K4" s="498"/>
      <c r="L4" s="499"/>
      <c r="M4" s="499"/>
      <c r="N4" s="499"/>
      <c r="O4" s="499"/>
      <c r="P4" s="500"/>
      <c r="Q4" s="389"/>
      <c r="R4" s="389"/>
    </row>
    <row r="5" spans="1:21" s="235" customFormat="1" ht="16.5" customHeight="1" thickBot="1">
      <c r="A5" s="1337" t="s">
        <v>879</v>
      </c>
      <c r="B5" s="1338"/>
      <c r="C5" s="1338"/>
      <c r="D5" s="1338"/>
      <c r="E5" s="1338"/>
      <c r="F5" s="1338"/>
      <c r="G5" s="1338"/>
      <c r="H5" s="1338"/>
      <c r="I5" s="1338"/>
      <c r="J5" s="1338"/>
      <c r="K5" s="1338"/>
      <c r="L5" s="1338"/>
      <c r="M5" s="1338"/>
      <c r="N5" s="1338"/>
      <c r="O5" s="1338"/>
      <c r="P5" s="1339"/>
    </row>
    <row r="6" spans="1:21">
      <c r="B6" s="2" t="s">
        <v>1</v>
      </c>
      <c r="C6" s="75"/>
      <c r="D6" s="6"/>
      <c r="E6" s="73"/>
      <c r="F6" s="6" t="s">
        <v>128</v>
      </c>
      <c r="G6" s="6"/>
      <c r="H6" s="6"/>
      <c r="I6" s="86"/>
      <c r="J6" s="6"/>
      <c r="K6" s="6"/>
    </row>
    <row r="7" spans="1:21" ht="15.75" thickBot="1">
      <c r="B7" s="74"/>
      <c r="C7" s="76"/>
      <c r="D7" s="6"/>
      <c r="E7" s="18"/>
      <c r="F7" s="6" t="s">
        <v>129</v>
      </c>
      <c r="G7" s="6"/>
      <c r="H7" s="6"/>
      <c r="I7" s="86"/>
      <c r="J7" s="6"/>
      <c r="K7" s="6"/>
    </row>
    <row r="8" spans="1:21" ht="15.75" thickBot="1">
      <c r="B8" s="171" t="s">
        <v>1181</v>
      </c>
      <c r="C8" s="213">
        <v>2022</v>
      </c>
      <c r="D8" s="218">
        <f>IF(E10="NO APLICA","NO APLICA",IF(E11="NO SE REPORTA","SIN INFORMACION",+G120))</f>
        <v>0.81511781394492633</v>
      </c>
      <c r="E8" s="214"/>
      <c r="F8" s="6" t="s">
        <v>130</v>
      </c>
      <c r="G8" s="6"/>
      <c r="H8" s="6"/>
      <c r="I8" s="86"/>
      <c r="J8" s="6"/>
      <c r="K8" s="6"/>
    </row>
    <row r="9" spans="1:21">
      <c r="A9" s="235"/>
      <c r="B9" s="462" t="s">
        <v>1182</v>
      </c>
      <c r="C9" s="292"/>
      <c r="D9" s="238"/>
      <c r="E9" s="238"/>
      <c r="F9" s="238"/>
      <c r="G9" s="238"/>
      <c r="H9" s="238"/>
      <c r="I9" s="254"/>
      <c r="J9" s="238"/>
      <c r="K9" s="6"/>
    </row>
    <row r="10" spans="1:21" s="389" customFormat="1">
      <c r="A10" s="235"/>
      <c r="B10" s="1392" t="s">
        <v>1236</v>
      </c>
      <c r="C10" s="1392"/>
      <c r="D10" s="1392"/>
      <c r="E10" s="468" t="s">
        <v>1233</v>
      </c>
      <c r="F10" s="1622" t="str">
        <f>'24POT'!$F$9</f>
        <v>Acuerdo 005 del 22 de mayo de 2020 (Por medio del cual se aprueba el Plan de Accion Institucional 2020 -2023)</v>
      </c>
      <c r="G10" s="1623"/>
      <c r="H10" s="1623"/>
      <c r="I10" s="1623"/>
      <c r="J10" s="1623"/>
      <c r="K10" s="1623"/>
      <c r="L10" s="1623"/>
      <c r="M10" s="1623"/>
      <c r="N10" s="1623"/>
      <c r="O10" s="1623"/>
      <c r="P10" s="1623"/>
      <c r="Q10" s="1623"/>
      <c r="R10" s="1623"/>
      <c r="S10" s="1623"/>
      <c r="T10" s="464"/>
      <c r="U10" s="464"/>
    </row>
    <row r="11" spans="1:21" s="389" customFormat="1" ht="14.45" customHeight="1">
      <c r="A11" s="235"/>
      <c r="B11" s="465"/>
      <c r="C11" s="466"/>
      <c r="D11" s="467" t="str">
        <f>IF(E10="SI APLICA","¿El indicador no se reporta por limitaciones de información disponible? ","")</f>
        <v xml:space="preserve">¿El indicador no se reporta por limitaciones de información disponible? </v>
      </c>
      <c r="E11" s="469" t="s">
        <v>1235</v>
      </c>
      <c r="F11" s="1622"/>
      <c r="G11" s="1623"/>
      <c r="H11" s="1623"/>
      <c r="I11" s="1623"/>
      <c r="J11" s="1623"/>
      <c r="K11" s="1623"/>
      <c r="L11" s="1623"/>
      <c r="M11" s="1623"/>
      <c r="N11" s="1623"/>
      <c r="O11" s="1623"/>
      <c r="P11" s="1623"/>
      <c r="Q11" s="1623"/>
      <c r="R11" s="1623"/>
      <c r="S11" s="1623"/>
    </row>
    <row r="12" spans="1:21" s="389" customFormat="1" ht="25.5" customHeight="1">
      <c r="A12" s="235"/>
      <c r="B12" s="462"/>
      <c r="C12" s="292"/>
      <c r="D12" s="467" t="str">
        <f>IF(E11="SI SE REPORTA","¿Qué programas o proyectos del Plan de Acción están asociados al indicador? ","")</f>
        <v xml:space="preserve">¿Qué programas o proyectos del Plan de Acción están asociados al indicador? </v>
      </c>
      <c r="E12" s="1430" t="s">
        <v>2118</v>
      </c>
      <c r="F12" s="1430"/>
      <c r="G12" s="1430"/>
      <c r="H12" s="1430"/>
      <c r="I12" s="1430"/>
      <c r="J12" s="1430"/>
      <c r="K12" s="1430"/>
      <c r="L12" s="1430"/>
      <c r="M12" s="1430"/>
      <c r="N12" s="1430"/>
      <c r="O12" s="1430"/>
      <c r="P12" s="1430"/>
      <c r="Q12" s="1430"/>
      <c r="R12" s="1430"/>
    </row>
    <row r="13" spans="1:21" s="389" customFormat="1" ht="41.25" customHeight="1">
      <c r="A13" s="235"/>
      <c r="B13" s="462"/>
      <c r="C13" s="292"/>
      <c r="D13" s="467" t="s">
        <v>1238</v>
      </c>
      <c r="E13" s="1395" t="s">
        <v>2138</v>
      </c>
      <c r="F13" s="1396"/>
      <c r="G13" s="1396"/>
      <c r="H13" s="1396"/>
      <c r="I13" s="1396"/>
      <c r="J13" s="1396"/>
      <c r="K13" s="1396"/>
      <c r="L13" s="1396"/>
      <c r="M13" s="1396"/>
      <c r="N13" s="1396"/>
      <c r="O13" s="1396"/>
      <c r="P13" s="1396"/>
      <c r="Q13" s="1396"/>
      <c r="R13" s="1397"/>
    </row>
    <row r="14" spans="1:21" s="389" customFormat="1" ht="6.95" customHeight="1" thickBot="1">
      <c r="A14" s="235"/>
      <c r="B14" s="462"/>
      <c r="C14" s="292"/>
      <c r="D14" s="238"/>
      <c r="E14" s="238"/>
      <c r="F14" s="238"/>
      <c r="G14" s="238"/>
      <c r="H14" s="238"/>
      <c r="I14" s="254"/>
      <c r="J14" s="238"/>
      <c r="K14" s="6"/>
    </row>
    <row r="15" spans="1:21">
      <c r="A15" s="235"/>
      <c r="B15" s="1369" t="s">
        <v>2</v>
      </c>
      <c r="C15" s="257"/>
      <c r="D15" s="1351" t="s">
        <v>3</v>
      </c>
      <c r="E15" s="1352"/>
      <c r="F15" s="1352"/>
      <c r="G15" s="1352"/>
      <c r="H15" s="1352"/>
      <c r="I15" s="1353"/>
      <c r="J15" s="238"/>
      <c r="K15" s="6"/>
    </row>
    <row r="16" spans="1:21">
      <c r="A16" s="235"/>
      <c r="B16" s="1370"/>
      <c r="C16" s="265"/>
      <c r="D16" s="1627" t="s">
        <v>897</v>
      </c>
      <c r="E16" s="1628"/>
      <c r="F16" s="1628"/>
      <c r="G16" s="1628"/>
      <c r="H16" s="1628"/>
      <c r="I16" s="1629"/>
      <c r="J16" s="238"/>
      <c r="K16" s="6"/>
    </row>
    <row r="17" spans="1:11" ht="15.75" thickBot="1">
      <c r="A17" s="235"/>
      <c r="B17" s="1370"/>
      <c r="C17" s="265"/>
      <c r="D17" s="1357"/>
      <c r="E17" s="1402"/>
      <c r="F17" s="1402"/>
      <c r="G17" s="1402"/>
      <c r="H17" s="1402"/>
      <c r="I17" s="1359"/>
      <c r="J17" s="238"/>
      <c r="K17" s="6"/>
    </row>
    <row r="18" spans="1:11" ht="36.75" thickBot="1">
      <c r="A18" s="235"/>
      <c r="B18" s="1370"/>
      <c r="C18" s="261"/>
      <c r="D18" s="396" t="s">
        <v>2147</v>
      </c>
      <c r="E18" s="149">
        <v>112</v>
      </c>
      <c r="F18" s="238"/>
      <c r="G18" s="238"/>
      <c r="H18" s="238"/>
      <c r="I18" s="419"/>
      <c r="J18" s="238"/>
      <c r="K18" s="6"/>
    </row>
    <row r="19" spans="1:11" ht="36.75" thickBot="1">
      <c r="A19" s="235"/>
      <c r="B19" s="1370"/>
      <c r="C19" s="261"/>
      <c r="D19" s="401" t="s">
        <v>898</v>
      </c>
      <c r="E19" s="149">
        <v>111</v>
      </c>
      <c r="F19" s="238"/>
      <c r="G19" s="238"/>
      <c r="H19" s="238"/>
      <c r="I19" s="419"/>
      <c r="J19" s="238"/>
      <c r="K19" s="6"/>
    </row>
    <row r="20" spans="1:11" ht="15.75" thickBot="1">
      <c r="A20" s="235"/>
      <c r="B20" s="1370"/>
      <c r="C20" s="265"/>
      <c r="D20" s="1381"/>
      <c r="E20" s="1382"/>
      <c r="F20" s="1382"/>
      <c r="G20" s="1382"/>
      <c r="H20" s="1382"/>
      <c r="I20" s="1383"/>
      <c r="J20" s="238"/>
      <c r="K20" s="6"/>
    </row>
    <row r="21" spans="1:11" ht="15.75" thickBot="1">
      <c r="A21" s="235"/>
      <c r="B21" s="1370"/>
      <c r="C21" s="261"/>
      <c r="D21" s="396" t="s">
        <v>150</v>
      </c>
      <c r="E21" s="269" t="s">
        <v>20</v>
      </c>
      <c r="F21" s="269" t="s">
        <v>21</v>
      </c>
      <c r="G21" s="269" t="s">
        <v>22</v>
      </c>
      <c r="H21" s="269" t="s">
        <v>23</v>
      </c>
      <c r="I21" s="305" t="s">
        <v>151</v>
      </c>
      <c r="J21" s="238"/>
      <c r="K21" s="6"/>
    </row>
    <row r="22" spans="1:11" ht="24.75" thickBot="1">
      <c r="A22" s="235"/>
      <c r="B22" s="1370"/>
      <c r="C22" s="261"/>
      <c r="D22" s="401" t="s">
        <v>899</v>
      </c>
      <c r="E22" s="149">
        <v>63</v>
      </c>
      <c r="F22" s="149">
        <v>108</v>
      </c>
      <c r="G22" s="149">
        <v>112</v>
      </c>
      <c r="H22" s="149"/>
      <c r="I22" s="420">
        <f>SUM(E22:H22)</f>
        <v>283</v>
      </c>
      <c r="J22" s="238"/>
      <c r="K22" s="6"/>
    </row>
    <row r="23" spans="1:11" ht="24.75" thickBot="1">
      <c r="A23" s="235"/>
      <c r="B23" s="1370"/>
      <c r="C23" s="261"/>
      <c r="D23" s="401" t="s">
        <v>900</v>
      </c>
      <c r="E23" s="149">
        <v>63</v>
      </c>
      <c r="F23" s="149">
        <v>108</v>
      </c>
      <c r="G23" s="149">
        <v>111</v>
      </c>
      <c r="H23" s="149"/>
      <c r="I23" s="420">
        <f>SUM(E23:H23)</f>
        <v>282</v>
      </c>
      <c r="J23" s="238"/>
      <c r="K23" s="6"/>
    </row>
    <row r="24" spans="1:11" ht="24.75" thickBot="1">
      <c r="A24" s="235"/>
      <c r="B24" s="1370"/>
      <c r="C24" s="261"/>
      <c r="D24" s="401" t="s">
        <v>901</v>
      </c>
      <c r="E24" s="189">
        <f>+E23/E22</f>
        <v>1</v>
      </c>
      <c r="F24" s="189">
        <f>+F23/F22</f>
        <v>1</v>
      </c>
      <c r="G24" s="189">
        <f>+G23/G22</f>
        <v>0.9910714285714286</v>
      </c>
      <c r="H24" s="189" t="e">
        <f>+H23/H22</f>
        <v>#DIV/0!</v>
      </c>
      <c r="I24" s="189">
        <f>+I23/I22</f>
        <v>0.99646643109540634</v>
      </c>
      <c r="J24" s="238"/>
      <c r="K24" s="6"/>
    </row>
    <row r="25" spans="1:11">
      <c r="A25" s="235"/>
      <c r="B25" s="1370"/>
      <c r="C25" s="265"/>
      <c r="D25" s="1351" t="s">
        <v>902</v>
      </c>
      <c r="E25" s="1352"/>
      <c r="F25" s="1352"/>
      <c r="G25" s="1352"/>
      <c r="H25" s="1352"/>
      <c r="I25" s="1353"/>
      <c r="J25" s="238"/>
      <c r="K25" s="6"/>
    </row>
    <row r="26" spans="1:11" ht="15.75" thickBot="1">
      <c r="A26" s="235"/>
      <c r="B26" s="1370"/>
      <c r="C26" s="265"/>
      <c r="D26" s="1357"/>
      <c r="E26" s="1402"/>
      <c r="F26" s="1402"/>
      <c r="G26" s="1402"/>
      <c r="H26" s="1402"/>
      <c r="I26" s="1359"/>
      <c r="J26" s="238"/>
      <c r="K26" s="6"/>
    </row>
    <row r="27" spans="1:11" ht="24">
      <c r="A27" s="235"/>
      <c r="B27" s="1370"/>
      <c r="C27" s="261"/>
      <c r="D27" s="1353" t="s">
        <v>903</v>
      </c>
      <c r="E27" s="1369" t="s">
        <v>904</v>
      </c>
      <c r="F27" s="1369" t="s">
        <v>905</v>
      </c>
      <c r="G27" s="1369" t="s">
        <v>906</v>
      </c>
      <c r="H27" s="394" t="s">
        <v>907</v>
      </c>
      <c r="I27" s="419"/>
      <c r="J27" s="238"/>
      <c r="K27" s="6"/>
    </row>
    <row r="28" spans="1:11" ht="15.75" thickBot="1">
      <c r="A28" s="235"/>
      <c r="B28" s="1370"/>
      <c r="C28" s="261"/>
      <c r="D28" s="1383"/>
      <c r="E28" s="1371"/>
      <c r="F28" s="1371"/>
      <c r="G28" s="1371"/>
      <c r="H28" s="401" t="s">
        <v>908</v>
      </c>
      <c r="I28" s="419"/>
      <c r="J28" s="238"/>
      <c r="K28" s="6"/>
    </row>
    <row r="29" spans="1:11" ht="15.75" thickBot="1">
      <c r="A29" s="235"/>
      <c r="B29" s="1370"/>
      <c r="C29" s="261"/>
      <c r="D29" s="31" t="s">
        <v>1414</v>
      </c>
      <c r="E29" s="557">
        <v>81</v>
      </c>
      <c r="F29" s="557">
        <v>81</v>
      </c>
      <c r="G29" s="557">
        <v>81</v>
      </c>
      <c r="H29" s="557">
        <v>81</v>
      </c>
      <c r="I29" s="419"/>
      <c r="J29" s="238"/>
      <c r="K29" s="6"/>
    </row>
    <row r="30" spans="1:11" ht="15.75" thickBot="1">
      <c r="A30" s="235"/>
      <c r="B30" s="1370"/>
      <c r="C30" s="261"/>
      <c r="D30" s="31" t="s">
        <v>1103</v>
      </c>
      <c r="E30" s="557">
        <v>8</v>
      </c>
      <c r="F30" s="557">
        <v>8</v>
      </c>
      <c r="G30" s="557">
        <v>8</v>
      </c>
      <c r="H30" s="557">
        <v>8</v>
      </c>
      <c r="I30" s="419"/>
      <c r="J30" s="238"/>
      <c r="K30" s="6"/>
    </row>
    <row r="31" spans="1:11" ht="15.75" thickBot="1">
      <c r="A31" s="235"/>
      <c r="B31" s="1370"/>
      <c r="C31" s="261"/>
      <c r="D31" s="31" t="s">
        <v>2148</v>
      </c>
      <c r="E31" s="557">
        <v>5</v>
      </c>
      <c r="F31" s="557">
        <v>4</v>
      </c>
      <c r="G31" s="557">
        <v>4</v>
      </c>
      <c r="H31" s="557">
        <v>4</v>
      </c>
      <c r="I31" s="419"/>
      <c r="J31" s="238"/>
      <c r="K31" s="6"/>
    </row>
    <row r="32" spans="1:11" s="389" customFormat="1" ht="15.75" thickBot="1">
      <c r="A32" s="235"/>
      <c r="B32" s="1370"/>
      <c r="C32" s="261"/>
      <c r="D32" s="31" t="s">
        <v>1415</v>
      </c>
      <c r="E32" s="557">
        <v>4</v>
      </c>
      <c r="F32" s="557">
        <v>4</v>
      </c>
      <c r="G32" s="557">
        <v>4</v>
      </c>
      <c r="H32" s="557">
        <v>4</v>
      </c>
      <c r="I32" s="419"/>
      <c r="J32" s="238"/>
      <c r="K32" s="6"/>
    </row>
    <row r="33" spans="1:11" s="389" customFormat="1" ht="15.75" thickBot="1">
      <c r="A33" s="235"/>
      <c r="B33" s="1370"/>
      <c r="C33" s="261"/>
      <c r="D33" s="31" t="s">
        <v>1416</v>
      </c>
      <c r="E33" s="557">
        <v>2</v>
      </c>
      <c r="F33" s="557">
        <v>2</v>
      </c>
      <c r="G33" s="557">
        <v>2</v>
      </c>
      <c r="H33" s="557">
        <v>2</v>
      </c>
      <c r="I33" s="419"/>
      <c r="J33" s="238"/>
      <c r="K33" s="526"/>
    </row>
    <row r="34" spans="1:11" s="389" customFormat="1" ht="15.75" thickBot="1">
      <c r="A34" s="235"/>
      <c r="B34" s="1370"/>
      <c r="C34" s="261"/>
      <c r="D34" s="31" t="s">
        <v>1417</v>
      </c>
      <c r="E34" s="557">
        <v>2</v>
      </c>
      <c r="F34" s="557">
        <v>2</v>
      </c>
      <c r="G34" s="557">
        <v>2</v>
      </c>
      <c r="H34" s="557">
        <v>2</v>
      </c>
      <c r="I34" s="419"/>
      <c r="J34" s="238"/>
      <c r="K34" s="6"/>
    </row>
    <row r="35" spans="1:11" s="389" customFormat="1" ht="15.75" thickBot="1">
      <c r="A35" s="235"/>
      <c r="B35" s="1370"/>
      <c r="C35" s="261"/>
      <c r="D35" s="31" t="s">
        <v>1418</v>
      </c>
      <c r="E35" s="557">
        <v>5</v>
      </c>
      <c r="F35" s="557">
        <v>5</v>
      </c>
      <c r="G35" s="557">
        <v>55</v>
      </c>
      <c r="H35" s="557">
        <v>5</v>
      </c>
      <c r="I35" s="419"/>
      <c r="J35" s="238"/>
      <c r="K35" s="526"/>
    </row>
    <row r="36" spans="1:11" s="389" customFormat="1" ht="15.75" thickBot="1">
      <c r="A36" s="235"/>
      <c r="B36" s="1370"/>
      <c r="C36" s="261"/>
      <c r="D36" s="31" t="s">
        <v>1419</v>
      </c>
      <c r="E36" s="557">
        <v>5</v>
      </c>
      <c r="F36" s="557">
        <v>5</v>
      </c>
      <c r="G36" s="557">
        <v>5</v>
      </c>
      <c r="H36" s="557">
        <v>5</v>
      </c>
      <c r="I36" s="419"/>
      <c r="J36" s="238"/>
      <c r="K36" s="6"/>
    </row>
    <row r="37" spans="1:11" s="389" customFormat="1" ht="15.75" thickBot="1">
      <c r="A37" s="235"/>
      <c r="B37" s="1370"/>
      <c r="C37" s="261"/>
      <c r="D37" s="31"/>
      <c r="E37" s="149"/>
      <c r="F37" s="149"/>
      <c r="G37" s="149"/>
      <c r="H37" s="149"/>
      <c r="I37" s="419"/>
      <c r="J37" s="238"/>
      <c r="K37" s="6"/>
    </row>
    <row r="38" spans="1:11" ht="15.75" thickBot="1">
      <c r="A38" s="235"/>
      <c r="B38" s="1370"/>
      <c r="C38" s="261"/>
      <c r="D38" s="31"/>
      <c r="E38" s="149"/>
      <c r="F38" s="149"/>
      <c r="G38" s="149"/>
      <c r="H38" s="149"/>
      <c r="I38" s="419"/>
      <c r="J38" s="238"/>
      <c r="K38" s="6"/>
    </row>
    <row r="39" spans="1:11" ht="15.75" thickBot="1">
      <c r="A39" s="235"/>
      <c r="B39" s="1370"/>
      <c r="C39" s="261"/>
      <c r="D39" s="401" t="s">
        <v>151</v>
      </c>
      <c r="E39" s="421">
        <f>SUM(E29:E38)</f>
        <v>112</v>
      </c>
      <c r="F39" s="421">
        <f t="shared" ref="F39:H39" si="0">SUM(F29:F38)</f>
        <v>111</v>
      </c>
      <c r="G39" s="421">
        <f t="shared" si="0"/>
        <v>161</v>
      </c>
      <c r="H39" s="421">
        <f t="shared" si="0"/>
        <v>111</v>
      </c>
      <c r="I39" s="419"/>
      <c r="J39" s="238"/>
      <c r="K39" s="6"/>
    </row>
    <row r="40" spans="1:11">
      <c r="A40" s="235"/>
      <c r="B40" s="1370"/>
      <c r="C40" s="265"/>
      <c r="D40" s="1357"/>
      <c r="E40" s="1402"/>
      <c r="F40" s="1402"/>
      <c r="G40" s="1402"/>
      <c r="H40" s="1402"/>
      <c r="I40" s="1359"/>
      <c r="J40" s="238"/>
      <c r="K40" s="6"/>
    </row>
    <row r="41" spans="1:11">
      <c r="A41" s="235"/>
      <c r="B41" s="1370"/>
      <c r="C41" s="265"/>
      <c r="D41" s="1627" t="s">
        <v>909</v>
      </c>
      <c r="E41" s="1628"/>
      <c r="F41" s="1628"/>
      <c r="G41" s="1628"/>
      <c r="H41" s="1628"/>
      <c r="I41" s="1629"/>
      <c r="J41" s="238"/>
      <c r="K41" s="6"/>
    </row>
    <row r="42" spans="1:11" ht="15.75" thickBot="1">
      <c r="A42" s="235"/>
      <c r="B42" s="1370"/>
      <c r="C42" s="265"/>
      <c r="D42" s="1357"/>
      <c r="E42" s="1402"/>
      <c r="F42" s="1402"/>
      <c r="G42" s="1402"/>
      <c r="H42" s="1402"/>
      <c r="I42" s="1359"/>
      <c r="J42" s="238"/>
      <c r="K42" s="6"/>
    </row>
    <row r="43" spans="1:11" ht="15.75" thickBot="1">
      <c r="A43" s="235"/>
      <c r="B43" s="1370"/>
      <c r="C43" s="261"/>
      <c r="D43" s="396" t="s">
        <v>150</v>
      </c>
      <c r="E43" s="269" t="s">
        <v>910</v>
      </c>
      <c r="F43" s="238"/>
      <c r="G43" s="238"/>
      <c r="H43" s="238"/>
      <c r="I43" s="419"/>
      <c r="J43" s="238"/>
      <c r="K43" s="6"/>
    </row>
    <row r="44" spans="1:11" ht="15.75" thickBot="1">
      <c r="A44" s="235"/>
      <c r="B44" s="1370"/>
      <c r="C44" s="261"/>
      <c r="D44" s="401" t="s">
        <v>2158</v>
      </c>
      <c r="E44" s="557">
        <v>923</v>
      </c>
      <c r="F44" s="238"/>
      <c r="G44" s="238"/>
      <c r="H44" s="238"/>
      <c r="I44" s="419"/>
      <c r="J44" s="238"/>
      <c r="K44" s="6"/>
    </row>
    <row r="45" spans="1:11" ht="24.75" thickBot="1">
      <c r="A45" s="235"/>
      <c r="B45" s="1370"/>
      <c r="C45" s="261"/>
      <c r="D45" s="401" t="s">
        <v>2159</v>
      </c>
      <c r="E45" s="557">
        <v>1325</v>
      </c>
      <c r="F45" s="238"/>
      <c r="G45" s="238"/>
      <c r="H45" s="238"/>
      <c r="I45" s="419"/>
      <c r="J45" s="238"/>
      <c r="K45" s="6"/>
    </row>
    <row r="46" spans="1:11" ht="24.75" thickBot="1">
      <c r="A46" s="235"/>
      <c r="B46" s="1370"/>
      <c r="C46" s="261"/>
      <c r="D46" s="401" t="s">
        <v>2160</v>
      </c>
      <c r="E46" s="557">
        <v>1325</v>
      </c>
      <c r="F46" s="238"/>
      <c r="G46" s="238"/>
      <c r="H46" s="238"/>
      <c r="I46" s="419"/>
      <c r="J46" s="238"/>
      <c r="K46" s="6"/>
    </row>
    <row r="47" spans="1:11">
      <c r="A47" s="235"/>
      <c r="B47" s="1370"/>
      <c r="C47" s="265"/>
      <c r="D47" s="1357"/>
      <c r="E47" s="1402"/>
      <c r="F47" s="1402"/>
      <c r="G47" s="1402"/>
      <c r="H47" s="1402"/>
      <c r="I47" s="1359"/>
      <c r="J47" s="238"/>
      <c r="K47" s="6"/>
    </row>
    <row r="48" spans="1:11">
      <c r="A48" s="235"/>
      <c r="B48" s="1370"/>
      <c r="C48" s="265"/>
      <c r="D48" s="1357" t="s">
        <v>911</v>
      </c>
      <c r="E48" s="1402"/>
      <c r="F48" s="1402"/>
      <c r="G48" s="1402"/>
      <c r="H48" s="1402"/>
      <c r="I48" s="1359"/>
      <c r="J48" s="238"/>
      <c r="K48" s="6"/>
    </row>
    <row r="49" spans="1:11" ht="15.75" thickBot="1">
      <c r="A49" s="235"/>
      <c r="B49" s="1370"/>
      <c r="C49" s="265"/>
      <c r="D49" s="1381"/>
      <c r="E49" s="1382"/>
      <c r="F49" s="1382"/>
      <c r="G49" s="1382"/>
      <c r="H49" s="1382"/>
      <c r="I49" s="1383"/>
      <c r="J49" s="238"/>
      <c r="K49" s="6"/>
    </row>
    <row r="50" spans="1:11" ht="15.75" thickBot="1">
      <c r="A50" s="235"/>
      <c r="B50" s="1370"/>
      <c r="C50" s="261"/>
      <c r="D50" s="396" t="s">
        <v>150</v>
      </c>
      <c r="E50" s="269" t="s">
        <v>20</v>
      </c>
      <c r="F50" s="269" t="s">
        <v>21</v>
      </c>
      <c r="G50" s="269" t="s">
        <v>22</v>
      </c>
      <c r="H50" s="269" t="s">
        <v>23</v>
      </c>
      <c r="I50" s="305" t="s">
        <v>151</v>
      </c>
      <c r="J50" s="238"/>
      <c r="K50" s="6"/>
    </row>
    <row r="51" spans="1:11" ht="24.75" thickBot="1">
      <c r="A51" s="235"/>
      <c r="B51" s="1370"/>
      <c r="C51" s="261"/>
      <c r="D51" s="401" t="s">
        <v>912</v>
      </c>
      <c r="E51" s="149">
        <v>130</v>
      </c>
      <c r="F51" s="557">
        <v>331</v>
      </c>
      <c r="G51" s="557">
        <v>512</v>
      </c>
      <c r="H51" s="149"/>
      <c r="I51" s="421">
        <f>SUM(E51:H51)</f>
        <v>973</v>
      </c>
      <c r="J51" s="238"/>
      <c r="K51" s="6"/>
    </row>
    <row r="52" spans="1:11" ht="24.75" thickBot="1">
      <c r="A52" s="235"/>
      <c r="B52" s="1370"/>
      <c r="C52" s="261"/>
      <c r="D52" s="401" t="s">
        <v>913</v>
      </c>
      <c r="E52" s="149">
        <v>77</v>
      </c>
      <c r="F52" s="557">
        <v>167</v>
      </c>
      <c r="G52" s="557">
        <v>204</v>
      </c>
      <c r="H52" s="149"/>
      <c r="I52" s="421">
        <f>SUM(E52:H52)</f>
        <v>448</v>
      </c>
      <c r="J52" s="238"/>
      <c r="K52" s="6"/>
    </row>
    <row r="53" spans="1:11" ht="24.75" thickBot="1">
      <c r="A53" s="235"/>
      <c r="B53" s="1370"/>
      <c r="C53" s="261"/>
      <c r="D53" s="401" t="s">
        <v>914</v>
      </c>
      <c r="E53" s="189">
        <f>+E52/E51</f>
        <v>0.59230769230769231</v>
      </c>
      <c r="F53" s="189">
        <f>+F52/F51</f>
        <v>0.50453172205438068</v>
      </c>
      <c r="G53" s="189">
        <f>+G52/G51</f>
        <v>0.3984375</v>
      </c>
      <c r="H53" s="189" t="e">
        <f>+H52/H51</f>
        <v>#DIV/0!</v>
      </c>
      <c r="I53" s="189">
        <f>+I52/I51</f>
        <v>0.46043165467625902</v>
      </c>
      <c r="J53" s="238"/>
      <c r="K53" s="6"/>
    </row>
    <row r="54" spans="1:11">
      <c r="A54" s="235"/>
      <c r="B54" s="1370"/>
      <c r="C54" s="265"/>
      <c r="D54" s="1351"/>
      <c r="E54" s="1352"/>
      <c r="F54" s="1352"/>
      <c r="G54" s="1352"/>
      <c r="H54" s="1352"/>
      <c r="I54" s="1353"/>
      <c r="J54" s="238"/>
      <c r="K54" s="6"/>
    </row>
    <row r="55" spans="1:11">
      <c r="A55" s="235"/>
      <c r="B55" s="1370"/>
      <c r="C55" s="265"/>
      <c r="D55" s="1357" t="s">
        <v>915</v>
      </c>
      <c r="E55" s="1402"/>
      <c r="F55" s="1402"/>
      <c r="G55" s="1402"/>
      <c r="H55" s="1402"/>
      <c r="I55" s="1359"/>
      <c r="J55" s="238"/>
      <c r="K55" s="6"/>
    </row>
    <row r="56" spans="1:11" ht="15.75" thickBot="1">
      <c r="A56" s="235"/>
      <c r="B56" s="1370"/>
      <c r="C56" s="265"/>
      <c r="D56" s="1381"/>
      <c r="E56" s="1382"/>
      <c r="F56" s="1382"/>
      <c r="G56" s="1382"/>
      <c r="H56" s="1382"/>
      <c r="I56" s="1383"/>
      <c r="J56" s="238"/>
      <c r="K56" s="6"/>
    </row>
    <row r="57" spans="1:11" ht="15.75" thickBot="1">
      <c r="A57" s="235"/>
      <c r="B57" s="1370"/>
      <c r="C57" s="261"/>
      <c r="D57" s="396" t="s">
        <v>150</v>
      </c>
      <c r="E57" s="269" t="s">
        <v>20</v>
      </c>
      <c r="F57" s="269" t="s">
        <v>21</v>
      </c>
      <c r="G57" s="269" t="s">
        <v>22</v>
      </c>
      <c r="H57" s="269" t="s">
        <v>23</v>
      </c>
      <c r="I57" s="305" t="s">
        <v>151</v>
      </c>
      <c r="J57" s="238"/>
      <c r="K57" s="6"/>
    </row>
    <row r="58" spans="1:11" ht="24.75" thickBot="1">
      <c r="A58" s="235"/>
      <c r="B58" s="1370"/>
      <c r="C58" s="261"/>
      <c r="D58" s="401" t="s">
        <v>916</v>
      </c>
      <c r="E58" s="149"/>
      <c r="F58" s="557"/>
      <c r="G58" s="557"/>
      <c r="H58" s="149"/>
      <c r="I58" s="421">
        <f>SUM(E58:H58)</f>
        <v>0</v>
      </c>
      <c r="J58" s="238"/>
      <c r="K58" s="6"/>
    </row>
    <row r="59" spans="1:11" ht="24.75" thickBot="1">
      <c r="A59" s="235"/>
      <c r="B59" s="1370"/>
      <c r="C59" s="261"/>
      <c r="D59" s="401" t="s">
        <v>917</v>
      </c>
      <c r="E59" s="149"/>
      <c r="F59" s="557"/>
      <c r="G59" s="557"/>
      <c r="H59" s="149"/>
      <c r="I59" s="421">
        <f>SUM(E59:H59)</f>
        <v>0</v>
      </c>
      <c r="J59" s="238"/>
      <c r="K59" s="6"/>
    </row>
    <row r="60" spans="1:11" ht="24.75" thickBot="1">
      <c r="A60" s="235"/>
      <c r="B60" s="1370"/>
      <c r="C60" s="261"/>
      <c r="D60" s="401" t="s">
        <v>918</v>
      </c>
      <c r="E60" s="189" t="e">
        <f>+E59/E58</f>
        <v>#DIV/0!</v>
      </c>
      <c r="F60" s="189" t="e">
        <f>+F59/F58</f>
        <v>#DIV/0!</v>
      </c>
      <c r="G60" s="189" t="e">
        <f>+G59/G58</f>
        <v>#DIV/0!</v>
      </c>
      <c r="H60" s="189" t="e">
        <f>+H59/H58</f>
        <v>#DIV/0!</v>
      </c>
      <c r="I60" s="189" t="e">
        <f>+I59/I58</f>
        <v>#DIV/0!</v>
      </c>
      <c r="J60" s="238"/>
      <c r="K60" s="6"/>
    </row>
    <row r="61" spans="1:11">
      <c r="A61" s="235"/>
      <c r="B61" s="1370"/>
      <c r="C61" s="265"/>
      <c r="D61" s="1351"/>
      <c r="E61" s="1352"/>
      <c r="F61" s="1352"/>
      <c r="G61" s="1352"/>
      <c r="H61" s="1352"/>
      <c r="I61" s="1353"/>
      <c r="J61" s="238"/>
      <c r="K61" s="6"/>
    </row>
    <row r="62" spans="1:11">
      <c r="A62" s="235"/>
      <c r="B62" s="1370"/>
      <c r="C62" s="265"/>
      <c r="D62" s="1627" t="s">
        <v>1223</v>
      </c>
      <c r="E62" s="1628"/>
      <c r="F62" s="1628"/>
      <c r="G62" s="1628"/>
      <c r="H62" s="1628"/>
      <c r="I62" s="1629"/>
      <c r="J62" s="238"/>
      <c r="K62" s="6"/>
    </row>
    <row r="63" spans="1:11" ht="15.75" thickBot="1">
      <c r="A63" s="235"/>
      <c r="B63" s="1370"/>
      <c r="C63" s="265"/>
      <c r="D63" s="1357"/>
      <c r="E63" s="1402"/>
      <c r="F63" s="1402"/>
      <c r="G63" s="1402"/>
      <c r="H63" s="1402"/>
      <c r="I63" s="1359"/>
      <c r="J63" s="238"/>
      <c r="K63" s="6"/>
    </row>
    <row r="64" spans="1:11" ht="15.75" thickBot="1">
      <c r="A64" s="235"/>
      <c r="B64" s="1370"/>
      <c r="C64" s="261"/>
      <c r="D64" s="396" t="s">
        <v>150</v>
      </c>
      <c r="E64" s="269" t="s">
        <v>910</v>
      </c>
      <c r="F64" s="238"/>
      <c r="G64" s="238"/>
      <c r="H64" s="238"/>
      <c r="I64" s="419"/>
      <c r="J64" s="238"/>
      <c r="K64" s="6"/>
    </row>
    <row r="65" spans="1:11" ht="24.75" thickBot="1">
      <c r="A65" s="235"/>
      <c r="B65" s="1370"/>
      <c r="C65" s="261"/>
      <c r="D65" s="401" t="s">
        <v>2151</v>
      </c>
      <c r="E65" s="557">
        <v>73</v>
      </c>
      <c r="F65" s="238"/>
      <c r="G65" s="238"/>
      <c r="H65" s="238"/>
      <c r="I65" s="419"/>
      <c r="J65" s="238"/>
      <c r="K65" s="6"/>
    </row>
    <row r="66" spans="1:11" ht="24.75" thickBot="1">
      <c r="A66" s="235"/>
      <c r="B66" s="1370"/>
      <c r="C66" s="261"/>
      <c r="D66" s="401" t="s">
        <v>2152</v>
      </c>
      <c r="E66" s="557">
        <v>73</v>
      </c>
      <c r="F66" s="238"/>
      <c r="G66" s="238"/>
      <c r="H66" s="238"/>
      <c r="I66" s="419"/>
      <c r="J66" s="238"/>
      <c r="K66" s="6"/>
    </row>
    <row r="67" spans="1:11" ht="24.75" thickBot="1">
      <c r="A67" s="235"/>
      <c r="B67" s="1370"/>
      <c r="C67" s="261"/>
      <c r="D67" s="401" t="s">
        <v>2153</v>
      </c>
      <c r="E67" s="557">
        <v>73</v>
      </c>
      <c r="F67" s="238"/>
      <c r="G67" s="238"/>
      <c r="H67" s="238"/>
      <c r="I67" s="419"/>
      <c r="J67" s="238"/>
      <c r="K67" s="6"/>
    </row>
    <row r="68" spans="1:11">
      <c r="A68" s="235"/>
      <c r="B68" s="1370"/>
      <c r="C68" s="265"/>
      <c r="D68" s="1357"/>
      <c r="E68" s="1402"/>
      <c r="F68" s="1402"/>
      <c r="G68" s="1402"/>
      <c r="H68" s="1402"/>
      <c r="I68" s="1359"/>
      <c r="J68" s="238"/>
      <c r="K68" s="6"/>
    </row>
    <row r="69" spans="1:11">
      <c r="A69" s="235"/>
      <c r="B69" s="1370"/>
      <c r="C69" s="265"/>
      <c r="D69" s="1357" t="s">
        <v>919</v>
      </c>
      <c r="E69" s="1402"/>
      <c r="F69" s="1402"/>
      <c r="G69" s="1402"/>
      <c r="H69" s="1402"/>
      <c r="I69" s="1359"/>
      <c r="J69" s="238"/>
      <c r="K69" s="6"/>
    </row>
    <row r="70" spans="1:11" ht="15.75" thickBot="1">
      <c r="A70" s="235"/>
      <c r="B70" s="1370"/>
      <c r="C70" s="265"/>
      <c r="D70" s="1381"/>
      <c r="E70" s="1382"/>
      <c r="F70" s="1382"/>
      <c r="G70" s="1382"/>
      <c r="H70" s="1382"/>
      <c r="I70" s="1383"/>
      <c r="J70" s="238"/>
      <c r="K70" s="6"/>
    </row>
    <row r="71" spans="1:11" ht="15.75" thickBot="1">
      <c r="A71" s="235"/>
      <c r="B71" s="1370"/>
      <c r="C71" s="261"/>
      <c r="D71" s="396" t="s">
        <v>150</v>
      </c>
      <c r="E71" s="269" t="s">
        <v>20</v>
      </c>
      <c r="F71" s="269" t="s">
        <v>21</v>
      </c>
      <c r="G71" s="269" t="s">
        <v>22</v>
      </c>
      <c r="H71" s="269" t="s">
        <v>23</v>
      </c>
      <c r="I71" s="305" t="s">
        <v>151</v>
      </c>
      <c r="J71" s="238"/>
      <c r="K71" s="6"/>
    </row>
    <row r="72" spans="1:11" ht="36.75" thickBot="1">
      <c r="A72" s="235"/>
      <c r="B72" s="1370"/>
      <c r="C72" s="261"/>
      <c r="D72" s="401" t="s">
        <v>920</v>
      </c>
      <c r="E72" s="149">
        <v>66</v>
      </c>
      <c r="F72" s="557">
        <v>62</v>
      </c>
      <c r="G72" s="149">
        <v>73</v>
      </c>
      <c r="H72" s="149"/>
      <c r="I72" s="421">
        <f>SUM(E72:H72)</f>
        <v>201</v>
      </c>
      <c r="J72" s="238"/>
      <c r="K72" s="6"/>
    </row>
    <row r="73" spans="1:11" ht="24.75" thickBot="1">
      <c r="A73" s="235"/>
      <c r="B73" s="1370"/>
      <c r="C73" s="261"/>
      <c r="D73" s="401" t="s">
        <v>921</v>
      </c>
      <c r="E73" s="149">
        <v>30</v>
      </c>
      <c r="F73" s="557">
        <v>59</v>
      </c>
      <c r="G73" s="149">
        <v>71</v>
      </c>
      <c r="H73" s="149"/>
      <c r="I73" s="421">
        <f>SUM(E73:H73)</f>
        <v>160</v>
      </c>
      <c r="J73" s="238"/>
      <c r="K73" s="6"/>
    </row>
    <row r="74" spans="1:11" ht="24.75" thickBot="1">
      <c r="A74" s="235"/>
      <c r="B74" s="1370"/>
      <c r="C74" s="261"/>
      <c r="D74" s="401" t="s">
        <v>922</v>
      </c>
      <c r="E74" s="189">
        <f>+E73/E72</f>
        <v>0.45454545454545453</v>
      </c>
      <c r="F74" s="189">
        <f>+F73/F72</f>
        <v>0.95161290322580649</v>
      </c>
      <c r="G74" s="189">
        <f>+G73/G72</f>
        <v>0.9726027397260274</v>
      </c>
      <c r="H74" s="189" t="e">
        <f>+H73/H72</f>
        <v>#DIV/0!</v>
      </c>
      <c r="I74" s="189">
        <f>+I73/I72</f>
        <v>0.79601990049751248</v>
      </c>
      <c r="J74" s="238"/>
      <c r="K74" s="6"/>
    </row>
    <row r="75" spans="1:11" ht="15.75" thickBot="1">
      <c r="A75" s="235"/>
      <c r="B75" s="1370"/>
      <c r="C75" s="387"/>
      <c r="D75" s="395"/>
      <c r="E75" s="422"/>
      <c r="F75" s="422"/>
      <c r="G75" s="422"/>
      <c r="H75" s="422"/>
      <c r="I75" s="423"/>
      <c r="J75" s="238"/>
      <c r="K75" s="6"/>
    </row>
    <row r="76" spans="1:11">
      <c r="A76" s="235"/>
      <c r="B76" s="1370"/>
      <c r="C76" s="265"/>
      <c r="D76" s="1351" t="s">
        <v>923</v>
      </c>
      <c r="E76" s="1352"/>
      <c r="F76" s="1352"/>
      <c r="G76" s="1352"/>
      <c r="H76" s="1352"/>
      <c r="I76" s="1353"/>
      <c r="J76" s="238"/>
      <c r="K76" s="6"/>
    </row>
    <row r="77" spans="1:11" ht="15.75" thickBot="1">
      <c r="A77" s="235"/>
      <c r="B77" s="1370"/>
      <c r="C77" s="265"/>
      <c r="D77" s="1381"/>
      <c r="E77" s="1382"/>
      <c r="F77" s="1382"/>
      <c r="G77" s="1382"/>
      <c r="H77" s="1382"/>
      <c r="I77" s="1383"/>
      <c r="J77" s="238"/>
      <c r="K77" s="6"/>
    </row>
    <row r="78" spans="1:11" ht="15.75" thickBot="1">
      <c r="A78" s="235"/>
      <c r="B78" s="1370"/>
      <c r="C78" s="261"/>
      <c r="D78" s="396" t="s">
        <v>150</v>
      </c>
      <c r="E78" s="269" t="s">
        <v>20</v>
      </c>
      <c r="F78" s="269" t="s">
        <v>21</v>
      </c>
      <c r="G78" s="269" t="s">
        <v>22</v>
      </c>
      <c r="H78" s="269" t="s">
        <v>23</v>
      </c>
      <c r="I78" s="305" t="s">
        <v>151</v>
      </c>
      <c r="J78" s="238"/>
      <c r="K78" s="6"/>
    </row>
    <row r="79" spans="1:11" ht="24.75" thickBot="1">
      <c r="A79" s="235"/>
      <c r="B79" s="1370"/>
      <c r="C79" s="261"/>
      <c r="D79" s="401" t="s">
        <v>924</v>
      </c>
      <c r="E79" s="149"/>
      <c r="F79" s="149"/>
      <c r="G79" s="149"/>
      <c r="H79" s="149"/>
      <c r="I79" s="421">
        <f>SUM(E79:H79)</f>
        <v>0</v>
      </c>
      <c r="J79" s="238"/>
      <c r="K79" s="6"/>
    </row>
    <row r="80" spans="1:11" ht="24.75" thickBot="1">
      <c r="A80" s="235"/>
      <c r="B80" s="1370"/>
      <c r="C80" s="261"/>
      <c r="D80" s="401" t="s">
        <v>925</v>
      </c>
      <c r="E80" s="149"/>
      <c r="F80" s="149"/>
      <c r="G80" s="149"/>
      <c r="H80" s="149"/>
      <c r="I80" s="421">
        <f>SUM(E80:H80)</f>
        <v>0</v>
      </c>
      <c r="J80" s="238"/>
      <c r="K80" s="6"/>
    </row>
    <row r="81" spans="1:11" ht="24.75" thickBot="1">
      <c r="A81" s="235"/>
      <c r="B81" s="1370"/>
      <c r="C81" s="261"/>
      <c r="D81" s="401" t="s">
        <v>926</v>
      </c>
      <c r="E81" s="189" t="e">
        <f>+E80/E79</f>
        <v>#DIV/0!</v>
      </c>
      <c r="F81" s="189" t="e">
        <f>+F80/F79</f>
        <v>#DIV/0!</v>
      </c>
      <c r="G81" s="189" t="e">
        <f>+G80/G79</f>
        <v>#DIV/0!</v>
      </c>
      <c r="H81" s="189" t="e">
        <f>+H80/H79</f>
        <v>#DIV/0!</v>
      </c>
      <c r="I81" s="189" t="e">
        <f>+I80/I79</f>
        <v>#DIV/0!</v>
      </c>
      <c r="J81" s="238"/>
      <c r="K81" s="6"/>
    </row>
    <row r="82" spans="1:11">
      <c r="A82" s="235"/>
      <c r="B82" s="1370"/>
      <c r="C82" s="265"/>
      <c r="D82" s="1351"/>
      <c r="E82" s="1352"/>
      <c r="F82" s="1352"/>
      <c r="G82" s="1352"/>
      <c r="H82" s="1352"/>
      <c r="I82" s="1353"/>
      <c r="J82" s="238"/>
      <c r="K82" s="6"/>
    </row>
    <row r="83" spans="1:11" ht="15.75" thickBot="1">
      <c r="A83" s="235"/>
      <c r="B83" s="1370"/>
      <c r="C83" s="265"/>
      <c r="D83" s="1627" t="s">
        <v>927</v>
      </c>
      <c r="E83" s="1628"/>
      <c r="F83" s="1628"/>
      <c r="G83" s="1628"/>
      <c r="H83" s="1628"/>
      <c r="I83" s="1629"/>
      <c r="J83" s="238"/>
      <c r="K83" s="6"/>
    </row>
    <row r="84" spans="1:11" ht="15.75" thickBot="1">
      <c r="A84" s="235"/>
      <c r="B84" s="1370"/>
      <c r="C84" s="261"/>
      <c r="D84" s="396" t="s">
        <v>150</v>
      </c>
      <c r="E84" s="269" t="s">
        <v>910</v>
      </c>
      <c r="F84" s="238"/>
      <c r="G84" s="238"/>
      <c r="H84" s="238"/>
      <c r="I84" s="419"/>
      <c r="J84" s="238"/>
      <c r="K84" s="6"/>
    </row>
    <row r="85" spans="1:11" ht="24.75" thickBot="1">
      <c r="A85" s="235"/>
      <c r="B85" s="1370"/>
      <c r="C85" s="261"/>
      <c r="D85" s="401" t="s">
        <v>2149</v>
      </c>
      <c r="E85" s="149">
        <v>76</v>
      </c>
      <c r="F85" s="238"/>
      <c r="G85" s="238"/>
      <c r="H85" s="238"/>
      <c r="I85" s="419"/>
      <c r="J85" s="238"/>
      <c r="K85" s="6"/>
    </row>
    <row r="86" spans="1:11" ht="24.75" thickBot="1">
      <c r="A86" s="235"/>
      <c r="B86" s="1370"/>
      <c r="C86" s="261"/>
      <c r="D86" s="401" t="s">
        <v>2150</v>
      </c>
      <c r="E86" s="149">
        <v>76</v>
      </c>
      <c r="F86" s="238"/>
      <c r="G86" s="238"/>
      <c r="H86" s="238"/>
      <c r="I86" s="419"/>
      <c r="J86" s="238"/>
      <c r="K86" s="6"/>
    </row>
    <row r="87" spans="1:11">
      <c r="A87" s="235"/>
      <c r="B87" s="1370"/>
      <c r="C87" s="265"/>
      <c r="D87" s="1357"/>
      <c r="E87" s="1402"/>
      <c r="F87" s="1402"/>
      <c r="G87" s="1402"/>
      <c r="H87" s="1402"/>
      <c r="I87" s="1359"/>
      <c r="J87" s="238"/>
      <c r="K87" s="6"/>
    </row>
    <row r="88" spans="1:11" ht="15.75" thickBot="1">
      <c r="A88" s="235"/>
      <c r="B88" s="1370"/>
      <c r="C88" s="265"/>
      <c r="D88" s="1381" t="s">
        <v>928</v>
      </c>
      <c r="E88" s="1382"/>
      <c r="F88" s="1382"/>
      <c r="G88" s="1382"/>
      <c r="H88" s="1382"/>
      <c r="I88" s="1383"/>
      <c r="J88" s="238"/>
      <c r="K88" s="6"/>
    </row>
    <row r="89" spans="1:11" ht="15.75" thickBot="1">
      <c r="A89" s="235"/>
      <c r="B89" s="1370"/>
      <c r="C89" s="261"/>
      <c r="D89" s="396" t="s">
        <v>150</v>
      </c>
      <c r="E89" s="269" t="s">
        <v>20</v>
      </c>
      <c r="F89" s="269" t="s">
        <v>21</v>
      </c>
      <c r="G89" s="269" t="s">
        <v>22</v>
      </c>
      <c r="H89" s="269" t="s">
        <v>23</v>
      </c>
      <c r="I89" s="305" t="s">
        <v>151</v>
      </c>
      <c r="J89" s="238"/>
      <c r="K89" s="6"/>
    </row>
    <row r="90" spans="1:11" ht="36.75" thickBot="1">
      <c r="A90" s="235"/>
      <c r="B90" s="1370"/>
      <c r="C90" s="261"/>
      <c r="D90" s="401" t="s">
        <v>929</v>
      </c>
      <c r="E90" s="149">
        <v>39</v>
      </c>
      <c r="F90" s="557">
        <v>72</v>
      </c>
      <c r="G90" s="149">
        <v>76</v>
      </c>
      <c r="H90" s="149"/>
      <c r="I90" s="421">
        <f>SUM(E90:H90)</f>
        <v>187</v>
      </c>
      <c r="J90" s="238"/>
      <c r="K90" s="6"/>
    </row>
    <row r="91" spans="1:11" ht="24.75" thickBot="1">
      <c r="A91" s="235"/>
      <c r="B91" s="1370"/>
      <c r="C91" s="261"/>
      <c r="D91" s="401" t="s">
        <v>930</v>
      </c>
      <c r="E91" s="149">
        <v>39</v>
      </c>
      <c r="F91" s="557">
        <v>55</v>
      </c>
      <c r="G91" s="149">
        <v>76</v>
      </c>
      <c r="H91" s="149"/>
      <c r="I91" s="421">
        <f>SUM(E91:H91)</f>
        <v>170</v>
      </c>
      <c r="J91" s="238"/>
      <c r="K91" s="6"/>
    </row>
    <row r="92" spans="1:11" ht="36.75" thickBot="1">
      <c r="A92" s="235"/>
      <c r="B92" s="1370"/>
      <c r="C92" s="261"/>
      <c r="D92" s="401" t="s">
        <v>931</v>
      </c>
      <c r="E92" s="189">
        <f>+E91/E90</f>
        <v>1</v>
      </c>
      <c r="F92" s="189">
        <f>+F91/F90</f>
        <v>0.76388888888888884</v>
      </c>
      <c r="G92" s="189">
        <f>+G91/G90</f>
        <v>1</v>
      </c>
      <c r="H92" s="189" t="e">
        <f>+H91/H90</f>
        <v>#DIV/0!</v>
      </c>
      <c r="I92" s="189">
        <f>+I91/I90</f>
        <v>0.90909090909090906</v>
      </c>
      <c r="J92" s="238"/>
      <c r="K92" s="6"/>
    </row>
    <row r="93" spans="1:11">
      <c r="A93" s="235"/>
      <c r="B93" s="1370"/>
      <c r="C93" s="265"/>
      <c r="D93" s="1351"/>
      <c r="E93" s="1352"/>
      <c r="F93" s="1352"/>
      <c r="G93" s="1352"/>
      <c r="H93" s="1352"/>
      <c r="I93" s="1353"/>
      <c r="J93" s="238"/>
      <c r="K93" s="6"/>
    </row>
    <row r="94" spans="1:11">
      <c r="A94" s="235"/>
      <c r="B94" s="1370"/>
      <c r="C94" s="265"/>
      <c r="D94" s="1357" t="s">
        <v>932</v>
      </c>
      <c r="E94" s="1402"/>
      <c r="F94" s="1402"/>
      <c r="G94" s="1402"/>
      <c r="H94" s="1402"/>
      <c r="I94" s="1359"/>
      <c r="J94" s="238"/>
      <c r="K94" s="6"/>
    </row>
    <row r="95" spans="1:11" ht="15.75" thickBot="1">
      <c r="A95" s="235"/>
      <c r="B95" s="1370"/>
      <c r="C95" s="265"/>
      <c r="D95" s="1381"/>
      <c r="E95" s="1382"/>
      <c r="F95" s="1382"/>
      <c r="G95" s="1382"/>
      <c r="H95" s="1382"/>
      <c r="I95" s="1383"/>
      <c r="J95" s="238"/>
      <c r="K95" s="6"/>
    </row>
    <row r="96" spans="1:11" ht="15.75" thickBot="1">
      <c r="A96" s="235"/>
      <c r="B96" s="1370"/>
      <c r="C96" s="261"/>
      <c r="D96" s="396" t="s">
        <v>150</v>
      </c>
      <c r="E96" s="269" t="s">
        <v>20</v>
      </c>
      <c r="F96" s="269" t="s">
        <v>21</v>
      </c>
      <c r="G96" s="269" t="s">
        <v>22</v>
      </c>
      <c r="H96" s="269" t="s">
        <v>23</v>
      </c>
      <c r="I96" s="305" t="s">
        <v>151</v>
      </c>
      <c r="J96" s="238"/>
      <c r="K96" s="6"/>
    </row>
    <row r="97" spans="1:11" ht="24.75" thickBot="1">
      <c r="A97" s="235"/>
      <c r="B97" s="1370"/>
      <c r="C97" s="261"/>
      <c r="D97" s="401" t="s">
        <v>933</v>
      </c>
      <c r="E97" s="149"/>
      <c r="F97" s="149"/>
      <c r="G97" s="149"/>
      <c r="H97" s="149"/>
      <c r="I97" s="421">
        <f>SUM(E97:H97)</f>
        <v>0</v>
      </c>
      <c r="J97" s="238"/>
      <c r="K97" s="6"/>
    </row>
    <row r="98" spans="1:11" ht="24.75" thickBot="1">
      <c r="A98" s="235"/>
      <c r="B98" s="1370"/>
      <c r="C98" s="261"/>
      <c r="D98" s="401" t="s">
        <v>934</v>
      </c>
      <c r="E98" s="149"/>
      <c r="F98" s="149"/>
      <c r="G98" s="149"/>
      <c r="H98" s="149"/>
      <c r="I98" s="421">
        <f>SUM(E98:H98)</f>
        <v>0</v>
      </c>
      <c r="J98" s="238"/>
      <c r="K98" s="6"/>
    </row>
    <row r="99" spans="1:11" ht="36.75" thickBot="1">
      <c r="A99" s="235"/>
      <c r="B99" s="1370"/>
      <c r="C99" s="261"/>
      <c r="D99" s="401" t="s">
        <v>935</v>
      </c>
      <c r="E99" s="189" t="e">
        <f>+E98/E97</f>
        <v>#DIV/0!</v>
      </c>
      <c r="F99" s="189" t="e">
        <f>+F98/F97</f>
        <v>#DIV/0!</v>
      </c>
      <c r="G99" s="189" t="e">
        <f>+G98/G97</f>
        <v>#DIV/0!</v>
      </c>
      <c r="H99" s="189" t="e">
        <f>+H98/H97</f>
        <v>#DIV/0!</v>
      </c>
      <c r="I99" s="189" t="e">
        <f>+I98/I97</f>
        <v>#DIV/0!</v>
      </c>
      <c r="J99" s="238"/>
      <c r="K99" s="6"/>
    </row>
    <row r="100" spans="1:11">
      <c r="A100" s="235"/>
      <c r="B100" s="1370"/>
      <c r="C100" s="265"/>
      <c r="D100" s="1351"/>
      <c r="E100" s="1352"/>
      <c r="F100" s="1352"/>
      <c r="G100" s="1352"/>
      <c r="H100" s="1352"/>
      <c r="I100" s="1353"/>
      <c r="J100" s="238"/>
      <c r="K100" s="6"/>
    </row>
    <row r="101" spans="1:11">
      <c r="A101" s="235"/>
      <c r="B101" s="1370"/>
      <c r="C101" s="265"/>
      <c r="D101" s="1627" t="s">
        <v>936</v>
      </c>
      <c r="E101" s="1628"/>
      <c r="F101" s="1628"/>
      <c r="G101" s="1628"/>
      <c r="H101" s="1628"/>
      <c r="I101" s="1629"/>
      <c r="J101" s="238"/>
      <c r="K101" s="6"/>
    </row>
    <row r="102" spans="1:11" ht="15.75" thickBot="1">
      <c r="A102" s="235"/>
      <c r="B102" s="1370"/>
      <c r="C102" s="265"/>
      <c r="D102" s="1357"/>
      <c r="E102" s="1402"/>
      <c r="F102" s="1402"/>
      <c r="G102" s="1402"/>
      <c r="H102" s="1402"/>
      <c r="I102" s="1359"/>
      <c r="J102" s="238"/>
      <c r="K102" s="6"/>
    </row>
    <row r="103" spans="1:11" ht="15.75" thickBot="1">
      <c r="A103" s="235"/>
      <c r="B103" s="1370"/>
      <c r="C103" s="261"/>
      <c r="D103" s="396" t="s">
        <v>150</v>
      </c>
      <c r="E103" s="269" t="s">
        <v>910</v>
      </c>
      <c r="F103" s="238"/>
      <c r="G103" s="238"/>
      <c r="H103" s="238"/>
      <c r="I103" s="419"/>
      <c r="J103" s="238"/>
      <c r="K103" s="6"/>
    </row>
    <row r="104" spans="1:11" ht="24.75" thickBot="1">
      <c r="A104" s="235"/>
      <c r="B104" s="1370"/>
      <c r="C104" s="261"/>
      <c r="D104" s="401" t="s">
        <v>1465</v>
      </c>
      <c r="E104" s="1187">
        <v>38</v>
      </c>
      <c r="F104" s="238"/>
      <c r="G104" s="238"/>
      <c r="H104" s="238"/>
      <c r="I104" s="419"/>
      <c r="J104" s="238"/>
      <c r="K104" s="6"/>
    </row>
    <row r="105" spans="1:11" ht="24.75" thickBot="1">
      <c r="A105" s="235"/>
      <c r="B105" s="1370"/>
      <c r="C105" s="261"/>
      <c r="D105" s="401" t="s">
        <v>1466</v>
      </c>
      <c r="E105" s="1187">
        <v>38</v>
      </c>
      <c r="F105" s="238"/>
      <c r="G105" s="238"/>
      <c r="H105" s="238"/>
      <c r="I105" s="419"/>
      <c r="J105" s="238"/>
      <c r="K105" s="6"/>
    </row>
    <row r="106" spans="1:11">
      <c r="A106" s="235"/>
      <c r="B106" s="1370"/>
      <c r="C106" s="265"/>
      <c r="D106" s="1357"/>
      <c r="E106" s="1402"/>
      <c r="F106" s="1402"/>
      <c r="G106" s="1402"/>
      <c r="H106" s="1402"/>
      <c r="I106" s="1359"/>
      <c r="J106" s="238"/>
      <c r="K106" s="6"/>
    </row>
    <row r="107" spans="1:11">
      <c r="A107" s="235"/>
      <c r="B107" s="1370"/>
      <c r="C107" s="265"/>
      <c r="D107" s="1357" t="s">
        <v>937</v>
      </c>
      <c r="E107" s="1402"/>
      <c r="F107" s="1402"/>
      <c r="G107" s="1402"/>
      <c r="H107" s="1402"/>
      <c r="I107" s="1359"/>
      <c r="J107" s="238"/>
      <c r="K107" s="6"/>
    </row>
    <row r="108" spans="1:11" ht="15.75" thickBot="1">
      <c r="A108" s="235"/>
      <c r="B108" s="1370"/>
      <c r="C108" s="265"/>
      <c r="D108" s="1381"/>
      <c r="E108" s="1382"/>
      <c r="F108" s="1382"/>
      <c r="G108" s="1382"/>
      <c r="H108" s="1382"/>
      <c r="I108" s="1383"/>
      <c r="J108" s="238"/>
      <c r="K108" s="6"/>
    </row>
    <row r="109" spans="1:11" ht="15.75" thickBot="1">
      <c r="A109" s="235"/>
      <c r="B109" s="1370"/>
      <c r="C109" s="261"/>
      <c r="D109" s="396" t="s">
        <v>150</v>
      </c>
      <c r="E109" s="269" t="s">
        <v>20</v>
      </c>
      <c r="F109" s="269" t="s">
        <v>21</v>
      </c>
      <c r="G109" s="269" t="s">
        <v>22</v>
      </c>
      <c r="H109" s="269" t="s">
        <v>23</v>
      </c>
      <c r="I109" s="305" t="s">
        <v>151</v>
      </c>
      <c r="J109" s="238"/>
      <c r="K109" s="6"/>
    </row>
    <row r="110" spans="1:11" ht="36.75" thickBot="1">
      <c r="A110" s="235"/>
      <c r="B110" s="1370"/>
      <c r="C110" s="261"/>
      <c r="D110" s="401" t="s">
        <v>938</v>
      </c>
      <c r="E110" s="149">
        <v>46</v>
      </c>
      <c r="F110" s="557">
        <v>45</v>
      </c>
      <c r="G110" s="149">
        <v>38</v>
      </c>
      <c r="H110" s="149"/>
      <c r="I110" s="421">
        <f>SUM(E110:H110)</f>
        <v>129</v>
      </c>
      <c r="J110" s="238"/>
      <c r="K110" s="6"/>
    </row>
    <row r="111" spans="1:11" ht="24.75" thickBot="1">
      <c r="A111" s="235"/>
      <c r="B111" s="1370"/>
      <c r="C111" s="261"/>
      <c r="D111" s="401" t="s">
        <v>939</v>
      </c>
      <c r="E111" s="149">
        <v>23</v>
      </c>
      <c r="F111" s="557">
        <v>32</v>
      </c>
      <c r="G111" s="149">
        <v>38</v>
      </c>
      <c r="H111" s="149"/>
      <c r="I111" s="421">
        <f>SUM(E111:H111)</f>
        <v>93</v>
      </c>
      <c r="J111" s="238"/>
      <c r="K111" s="6"/>
    </row>
    <row r="112" spans="1:11" ht="24.75" thickBot="1">
      <c r="A112" s="235"/>
      <c r="B112" s="1371"/>
      <c r="C112" s="403"/>
      <c r="D112" s="401" t="s">
        <v>940</v>
      </c>
      <c r="E112" s="189">
        <f>+E111/E110</f>
        <v>0.5</v>
      </c>
      <c r="F112" s="189">
        <f>+F111/F110</f>
        <v>0.71111111111111114</v>
      </c>
      <c r="G112" s="189">
        <f>+G111/G110</f>
        <v>1</v>
      </c>
      <c r="H112" s="189" t="e">
        <f>+H111/H110</f>
        <v>#DIV/0!</v>
      </c>
      <c r="I112" s="189">
        <f>+I111/I110</f>
        <v>0.72093023255813948</v>
      </c>
      <c r="J112" s="238"/>
      <c r="K112" s="6"/>
    </row>
    <row r="113" spans="1:11" ht="15.75" thickBot="1">
      <c r="A113" s="235"/>
      <c r="B113" s="306"/>
      <c r="C113" s="292"/>
      <c r="D113" s="238"/>
      <c r="E113" s="238"/>
      <c r="F113" s="238"/>
      <c r="G113" s="238"/>
      <c r="H113" s="238"/>
      <c r="I113" s="254"/>
      <c r="J113" s="238"/>
      <c r="K113" s="6"/>
    </row>
    <row r="114" spans="1:11" s="389" customFormat="1" ht="24.75" thickBot="1">
      <c r="A114" s="235"/>
      <c r="B114" s="306"/>
      <c r="C114" s="292"/>
      <c r="D114" s="288" t="s">
        <v>1225</v>
      </c>
      <c r="E114" s="288" t="s">
        <v>1226</v>
      </c>
      <c r="F114" s="288" t="s">
        <v>696</v>
      </c>
      <c r="G114" s="288" t="s">
        <v>1227</v>
      </c>
      <c r="H114" s="238"/>
      <c r="I114" s="254"/>
      <c r="J114" s="238"/>
      <c r="K114" s="6"/>
    </row>
    <row r="115" spans="1:11" s="389" customFormat="1" ht="24.75" thickBot="1">
      <c r="A115" s="235"/>
      <c r="B115" s="306"/>
      <c r="C115" s="292"/>
      <c r="D115" s="288" t="str">
        <f>+D24</f>
        <v>Porcentaje de licencias ambientales con seguimiento (PLACS)</v>
      </c>
      <c r="E115" s="189">
        <f>+F24</f>
        <v>1</v>
      </c>
      <c r="F115" s="1222">
        <v>0.3</v>
      </c>
      <c r="G115" s="189">
        <f>+E115*F115</f>
        <v>0.3</v>
      </c>
      <c r="H115" s="238"/>
      <c r="I115" s="254"/>
      <c r="J115" s="238"/>
      <c r="K115" s="6"/>
    </row>
    <row r="116" spans="1:11" s="389" customFormat="1" ht="24.75" thickBot="1">
      <c r="A116" s="235"/>
      <c r="B116" s="306"/>
      <c r="C116" s="292"/>
      <c r="D116" s="288" t="str">
        <f>+D53</f>
        <v>Porcentaje de concesiones de agua con seguimiento (PCACS)</v>
      </c>
      <c r="E116" s="189">
        <f>+F53</f>
        <v>0.50453172205438068</v>
      </c>
      <c r="F116" s="1222">
        <v>0.2</v>
      </c>
      <c r="G116" s="189">
        <f>+E116*F116</f>
        <v>0.10090634441087615</v>
      </c>
      <c r="H116" s="238"/>
      <c r="I116" s="254"/>
      <c r="J116" s="238"/>
      <c r="K116" s="6"/>
    </row>
    <row r="117" spans="1:11" s="389" customFormat="1" ht="24.75" thickBot="1">
      <c r="A117" s="235"/>
      <c r="B117" s="306"/>
      <c r="C117" s="292"/>
      <c r="D117" s="288" t="str">
        <f>+D74</f>
        <v>Porcentaje de permisos de vertimiento de agua con seguimiento (PVACS)</v>
      </c>
      <c r="E117" s="189">
        <f>+F74</f>
        <v>0.95161290322580649</v>
      </c>
      <c r="F117" s="1222">
        <v>0.2</v>
      </c>
      <c r="G117" s="189">
        <f>+E117*F117</f>
        <v>0.1903225806451613</v>
      </c>
      <c r="H117" s="238"/>
      <c r="I117" s="254"/>
      <c r="J117" s="238"/>
      <c r="K117" s="6"/>
    </row>
    <row r="118" spans="1:11" s="389" customFormat="1" ht="36.75" thickBot="1">
      <c r="A118" s="235"/>
      <c r="B118" s="306"/>
      <c r="C118" s="292"/>
      <c r="D118" s="288" t="str">
        <f>+D92</f>
        <v>Porcentaje de permisos de aprovechamiento forestal con seguimiento (PPAFCS)</v>
      </c>
      <c r="E118" s="189">
        <f>+F92</f>
        <v>0.76388888888888884</v>
      </c>
      <c r="F118" s="1222">
        <v>0.2</v>
      </c>
      <c r="G118" s="189">
        <f>+E118*F118</f>
        <v>0.15277777777777779</v>
      </c>
      <c r="H118" s="238"/>
      <c r="I118" s="254"/>
      <c r="J118" s="238"/>
      <c r="K118" s="6"/>
    </row>
    <row r="119" spans="1:11" s="389" customFormat="1" ht="24.75" thickBot="1">
      <c r="A119" s="235"/>
      <c r="B119" s="306"/>
      <c r="C119" s="292"/>
      <c r="D119" s="288" t="str">
        <f>+D112</f>
        <v>Porcentaje de permisos de emisiones atmosféricas con seguimiento (PEACS)</v>
      </c>
      <c r="E119" s="189">
        <f>+F112</f>
        <v>0.71111111111111114</v>
      </c>
      <c r="F119" s="1222">
        <v>0.1</v>
      </c>
      <c r="G119" s="189">
        <f>+E119*F119</f>
        <v>7.1111111111111111E-2</v>
      </c>
      <c r="H119" s="238"/>
      <c r="I119" s="254"/>
      <c r="J119" s="238"/>
      <c r="K119" s="6"/>
    </row>
    <row r="120" spans="1:11" s="389" customFormat="1" ht="24.75" thickBot="1">
      <c r="A120" s="235"/>
      <c r="B120" s="306"/>
      <c r="C120" s="292"/>
      <c r="D120" s="288" t="s">
        <v>1224</v>
      </c>
      <c r="E120" s="522">
        <f>AVERAGE(E115:E119)</f>
        <v>0.78622892505603748</v>
      </c>
      <c r="F120" s="418">
        <f>+Formulas!D26</f>
        <v>0.99999999999999989</v>
      </c>
      <c r="G120" s="189">
        <f>SUM(G115:G119)</f>
        <v>0.81511781394492633</v>
      </c>
      <c r="H120" s="238"/>
      <c r="I120" s="254"/>
      <c r="J120" s="238"/>
      <c r="K120" s="6"/>
    </row>
    <row r="121" spans="1:11" s="389" customFormat="1" ht="15.75" thickBot="1">
      <c r="B121" s="37"/>
      <c r="C121" s="87"/>
      <c r="D121" s="6"/>
      <c r="E121" s="6"/>
      <c r="F121" s="6"/>
      <c r="G121" s="6"/>
      <c r="H121" s="6"/>
      <c r="I121" s="86"/>
      <c r="J121" s="6"/>
      <c r="K121" s="6"/>
    </row>
    <row r="122" spans="1:11" ht="108.75" thickBot="1">
      <c r="B122" s="52" t="s">
        <v>34</v>
      </c>
      <c r="C122" s="97"/>
      <c r="D122" s="43" t="s">
        <v>941</v>
      </c>
      <c r="E122" s="6"/>
      <c r="F122" s="6"/>
      <c r="G122" s="6"/>
      <c r="H122" s="6"/>
      <c r="I122" s="86"/>
      <c r="J122" s="6"/>
      <c r="K122" s="6"/>
    </row>
    <row r="123" spans="1:11" ht="72.75" thickBot="1">
      <c r="B123" s="47" t="s">
        <v>36</v>
      </c>
      <c r="C123" s="3"/>
      <c r="D123" s="40" t="s">
        <v>159</v>
      </c>
      <c r="E123" s="6"/>
      <c r="F123" s="6"/>
      <c r="G123" s="6"/>
      <c r="H123" s="6"/>
      <c r="I123" s="86"/>
      <c r="J123" s="6"/>
      <c r="K123" s="6"/>
    </row>
    <row r="124" spans="1:11" ht="15.75" thickBot="1">
      <c r="B124" s="2"/>
      <c r="C124" s="75"/>
      <c r="D124" s="6"/>
      <c r="E124" s="6"/>
      <c r="F124" s="6"/>
      <c r="G124" s="6"/>
      <c r="H124" s="6"/>
      <c r="I124" s="86"/>
      <c r="J124" s="6"/>
      <c r="K124" s="6"/>
    </row>
    <row r="125" spans="1:11" ht="24" customHeight="1" thickBot="1">
      <c r="B125" s="1450" t="s">
        <v>38</v>
      </c>
      <c r="C125" s="1451"/>
      <c r="D125" s="1451"/>
      <c r="E125" s="1452"/>
      <c r="F125" s="6"/>
      <c r="G125" s="6"/>
      <c r="H125" s="6"/>
      <c r="I125" s="86"/>
      <c r="J125" s="6"/>
      <c r="K125" s="6"/>
    </row>
    <row r="126" spans="1:11" ht="60.75" thickBot="1">
      <c r="B126" s="1447">
        <v>1</v>
      </c>
      <c r="C126" s="93"/>
      <c r="D126" s="48" t="s">
        <v>39</v>
      </c>
      <c r="E126" s="447" t="s">
        <v>1413</v>
      </c>
      <c r="F126" s="6"/>
      <c r="G126" s="6"/>
      <c r="H126" s="6"/>
      <c r="I126" s="86"/>
      <c r="J126" s="6"/>
      <c r="K126" s="6"/>
    </row>
    <row r="127" spans="1:11" ht="48.75" thickBot="1">
      <c r="B127" s="1448"/>
      <c r="C127" s="93"/>
      <c r="D127" s="40" t="s">
        <v>40</v>
      </c>
      <c r="E127" s="447" t="s">
        <v>1400</v>
      </c>
      <c r="F127" s="6"/>
      <c r="G127" s="6"/>
      <c r="H127" s="6"/>
      <c r="I127" s="86"/>
      <c r="J127" s="6"/>
      <c r="K127" s="6"/>
    </row>
    <row r="128" spans="1:11" ht="24.75" thickBot="1">
      <c r="B128" s="1448"/>
      <c r="C128" s="93"/>
      <c r="D128" s="40" t="s">
        <v>41</v>
      </c>
      <c r="E128" s="447" t="s">
        <v>1476</v>
      </c>
      <c r="F128" s="6"/>
      <c r="G128" s="6"/>
      <c r="H128" s="6"/>
      <c r="I128" s="86"/>
      <c r="J128" s="6"/>
      <c r="K128" s="6"/>
    </row>
    <row r="129" spans="2:11" ht="15.75" thickBot="1">
      <c r="B129" s="1448"/>
      <c r="C129" s="93"/>
      <c r="D129" s="40" t="s">
        <v>42</v>
      </c>
      <c r="E129" s="447" t="s">
        <v>1390</v>
      </c>
      <c r="F129" s="6"/>
      <c r="G129" s="6"/>
      <c r="H129" s="6"/>
      <c r="I129" s="86"/>
      <c r="J129" s="6"/>
      <c r="K129" s="6"/>
    </row>
    <row r="130" spans="2:11" ht="48.75" thickBot="1">
      <c r="B130" s="1448"/>
      <c r="C130" s="93"/>
      <c r="D130" s="40" t="s">
        <v>43</v>
      </c>
      <c r="E130" s="447" t="s">
        <v>1391</v>
      </c>
      <c r="F130" s="6"/>
      <c r="G130" s="6"/>
      <c r="H130" s="6"/>
      <c r="I130" s="86"/>
      <c r="J130" s="6"/>
      <c r="K130" s="6"/>
    </row>
    <row r="131" spans="2:11" ht="15.75" thickBot="1">
      <c r="B131" s="1448"/>
      <c r="C131" s="93"/>
      <c r="D131" s="40" t="s">
        <v>44</v>
      </c>
      <c r="E131" s="447">
        <v>5748960</v>
      </c>
      <c r="F131" s="6"/>
      <c r="G131" s="6"/>
      <c r="H131" s="6"/>
      <c r="I131" s="86"/>
      <c r="J131" s="6"/>
      <c r="K131" s="6"/>
    </row>
    <row r="132" spans="2:11" ht="60.75" thickBot="1">
      <c r="B132" s="1449"/>
      <c r="C132" s="3"/>
      <c r="D132" s="40" t="s">
        <v>45</v>
      </c>
      <c r="E132" s="447" t="s">
        <v>1407</v>
      </c>
      <c r="F132" s="6"/>
      <c r="G132" s="6"/>
      <c r="H132" s="6"/>
      <c r="I132" s="86"/>
      <c r="J132" s="6"/>
      <c r="K132" s="6"/>
    </row>
    <row r="133" spans="2:11" ht="15.75" thickBot="1">
      <c r="B133" s="2"/>
      <c r="C133" s="75"/>
      <c r="D133" s="6"/>
      <c r="E133" s="6"/>
      <c r="F133" s="6"/>
      <c r="G133" s="6"/>
      <c r="H133" s="6"/>
      <c r="I133" s="86"/>
      <c r="J133" s="6"/>
      <c r="K133" s="6"/>
    </row>
    <row r="134" spans="2:11" ht="15.75" thickBot="1">
      <c r="B134" s="1450" t="s">
        <v>46</v>
      </c>
      <c r="C134" s="1451"/>
      <c r="D134" s="1451"/>
      <c r="E134" s="1452"/>
      <c r="F134" s="6"/>
      <c r="G134" s="6"/>
      <c r="H134" s="6"/>
      <c r="I134" s="86"/>
      <c r="J134" s="6"/>
      <c r="K134" s="6"/>
    </row>
    <row r="135" spans="2:11" ht="60.75" thickBot="1">
      <c r="B135" s="1447">
        <v>1</v>
      </c>
      <c r="C135" s="93"/>
      <c r="D135" s="48" t="s">
        <v>39</v>
      </c>
      <c r="E135" s="622" t="s">
        <v>47</v>
      </c>
      <c r="F135" s="6"/>
      <c r="G135" s="6"/>
      <c r="H135" s="6"/>
      <c r="I135" s="86"/>
      <c r="J135" s="6"/>
      <c r="K135" s="6"/>
    </row>
    <row r="136" spans="2:11" ht="84.75" thickBot="1">
      <c r="B136" s="1448"/>
      <c r="C136" s="93"/>
      <c r="D136" s="40" t="s">
        <v>40</v>
      </c>
      <c r="E136" s="622" t="s">
        <v>160</v>
      </c>
      <c r="F136" s="6"/>
      <c r="G136" s="6"/>
      <c r="H136" s="6"/>
      <c r="I136" s="86"/>
      <c r="J136" s="6"/>
      <c r="K136" s="6"/>
    </row>
    <row r="137" spans="2:11" ht="15.75" thickBot="1">
      <c r="B137" s="1448"/>
      <c r="C137" s="93"/>
      <c r="D137" s="40" t="s">
        <v>41</v>
      </c>
      <c r="E137" s="577"/>
      <c r="F137" s="6"/>
      <c r="G137" s="6"/>
      <c r="H137" s="6"/>
      <c r="I137" s="86"/>
      <c r="J137" s="6"/>
      <c r="K137" s="6"/>
    </row>
    <row r="138" spans="2:11" ht="15.75" thickBot="1">
      <c r="B138" s="1448"/>
      <c r="C138" s="93"/>
      <c r="D138" s="40" t="s">
        <v>42</v>
      </c>
      <c r="E138" s="577"/>
      <c r="F138" s="6"/>
      <c r="G138" s="6"/>
      <c r="H138" s="6"/>
      <c r="I138" s="86"/>
      <c r="J138" s="6"/>
      <c r="K138" s="6"/>
    </row>
    <row r="139" spans="2:11" ht="15.75" thickBot="1">
      <c r="B139" s="1448"/>
      <c r="C139" s="93"/>
      <c r="D139" s="40" t="s">
        <v>43</v>
      </c>
      <c r="E139" s="577"/>
      <c r="F139" s="6"/>
      <c r="G139" s="6"/>
      <c r="H139" s="6"/>
      <c r="I139" s="86"/>
      <c r="J139" s="6"/>
      <c r="K139" s="6"/>
    </row>
    <row r="140" spans="2:11" ht="15.75" thickBot="1">
      <c r="B140" s="1448"/>
      <c r="C140" s="93"/>
      <c r="D140" s="40" t="s">
        <v>44</v>
      </c>
      <c r="E140" s="577"/>
      <c r="F140" s="6"/>
      <c r="G140" s="6"/>
      <c r="H140" s="6"/>
      <c r="I140" s="86"/>
      <c r="J140" s="6"/>
      <c r="K140" s="6"/>
    </row>
    <row r="141" spans="2:11" ht="15.75" thickBot="1">
      <c r="B141" s="1449"/>
      <c r="C141" s="3"/>
      <c r="D141" s="40" t="s">
        <v>45</v>
      </c>
      <c r="E141" s="577"/>
      <c r="F141" s="6"/>
      <c r="G141" s="6"/>
      <c r="H141" s="6"/>
      <c r="I141" s="86"/>
      <c r="J141" s="6"/>
      <c r="K141" s="6"/>
    </row>
    <row r="142" spans="2:11" ht="15.75" thickBot="1">
      <c r="B142" s="2"/>
      <c r="C142" s="75"/>
      <c r="D142" s="6"/>
      <c r="E142" s="6"/>
      <c r="F142" s="6"/>
      <c r="G142" s="6"/>
      <c r="H142" s="6"/>
      <c r="I142" s="86"/>
      <c r="J142" s="6"/>
      <c r="K142" s="6"/>
    </row>
    <row r="143" spans="2:11" ht="15" customHeight="1" thickBot="1">
      <c r="B143" s="167" t="s">
        <v>49</v>
      </c>
      <c r="C143" s="124"/>
      <c r="D143" s="124"/>
      <c r="E143" s="125"/>
      <c r="G143" s="6"/>
      <c r="H143" s="6"/>
      <c r="I143" s="86"/>
      <c r="J143" s="6"/>
      <c r="K143" s="6"/>
    </row>
    <row r="144" spans="2:11" ht="24.75" thickBot="1">
      <c r="B144" s="47" t="s">
        <v>50</v>
      </c>
      <c r="C144" s="40" t="s">
        <v>51</v>
      </c>
      <c r="D144" s="40" t="s">
        <v>52</v>
      </c>
      <c r="E144" s="40" t="s">
        <v>53</v>
      </c>
      <c r="F144" s="6"/>
      <c r="G144" s="6"/>
      <c r="H144" s="6"/>
      <c r="I144" s="86"/>
      <c r="J144" s="6"/>
    </row>
    <row r="145" spans="2:11" ht="60.75" thickBot="1">
      <c r="B145" s="49">
        <v>42401</v>
      </c>
      <c r="C145" s="40">
        <v>0.01</v>
      </c>
      <c r="D145" s="50" t="s">
        <v>942</v>
      </c>
      <c r="E145" s="40"/>
      <c r="F145" s="6"/>
      <c r="G145" s="6"/>
      <c r="H145" s="6"/>
      <c r="I145" s="86"/>
      <c r="J145" s="6"/>
    </row>
    <row r="146" spans="2:11" ht="15.75" thickBot="1">
      <c r="B146" s="4"/>
      <c r="C146" s="94"/>
      <c r="D146" s="6"/>
      <c r="E146" s="6"/>
      <c r="F146" s="6"/>
      <c r="G146" s="6"/>
      <c r="H146" s="6"/>
      <c r="I146" s="86"/>
      <c r="J146" s="6"/>
      <c r="K146" s="6"/>
    </row>
    <row r="147" spans="2:11" ht="15.75" thickBot="1">
      <c r="B147" s="416" t="s">
        <v>55</v>
      </c>
      <c r="C147" s="95"/>
      <c r="D147" s="6"/>
      <c r="E147" s="6"/>
      <c r="F147" s="6"/>
      <c r="G147" s="6"/>
      <c r="H147" s="6"/>
      <c r="I147" s="86"/>
      <c r="J147" s="6"/>
      <c r="K147" s="6"/>
    </row>
    <row r="148" spans="2:11" ht="63" customHeight="1" thickBot="1">
      <c r="B148" s="1624"/>
      <c r="C148" s="1625"/>
      <c r="D148" s="1625"/>
      <c r="E148" s="1626"/>
      <c r="F148" s="6"/>
      <c r="G148" s="6"/>
      <c r="H148" s="6"/>
      <c r="I148" s="86"/>
      <c r="J148" s="6"/>
      <c r="K148" s="6"/>
    </row>
    <row r="149" spans="2:11" ht="15.75" thickBot="1">
      <c r="B149" s="6"/>
      <c r="D149" s="6"/>
      <c r="E149" s="6"/>
      <c r="F149" s="6"/>
      <c r="G149" s="6"/>
      <c r="H149" s="6"/>
      <c r="I149" s="86"/>
      <c r="J149" s="6"/>
      <c r="K149" s="6"/>
    </row>
    <row r="150" spans="2:11" ht="24.75" thickBot="1">
      <c r="B150" s="51" t="s">
        <v>56</v>
      </c>
      <c r="C150" s="96"/>
      <c r="D150" s="6"/>
      <c r="E150" s="6"/>
      <c r="F150" s="6"/>
      <c r="G150" s="6"/>
      <c r="H150" s="6"/>
      <c r="I150" s="86"/>
      <c r="J150" s="6"/>
      <c r="K150" s="6"/>
    </row>
    <row r="151" spans="2:11" ht="15.75" thickBot="1">
      <c r="B151" s="2" t="s">
        <v>880</v>
      </c>
      <c r="C151" s="75"/>
      <c r="D151" s="6"/>
      <c r="E151" s="6"/>
      <c r="F151" s="6"/>
      <c r="G151" s="6"/>
      <c r="H151" s="6"/>
      <c r="I151" s="86"/>
      <c r="J151" s="6"/>
      <c r="K151" s="6"/>
    </row>
    <row r="152" spans="2:11" ht="60.75" thickBot="1">
      <c r="B152" s="52" t="s">
        <v>57</v>
      </c>
      <c r="C152" s="97"/>
      <c r="D152" s="43" t="s">
        <v>881</v>
      </c>
      <c r="E152" s="6"/>
      <c r="F152" s="6"/>
      <c r="G152" s="6"/>
      <c r="H152" s="6"/>
      <c r="I152" s="86"/>
      <c r="J152" s="6"/>
      <c r="K152" s="6"/>
    </row>
    <row r="153" spans="2:11">
      <c r="B153" s="1447" t="s">
        <v>59</v>
      </c>
      <c r="C153" s="93"/>
      <c r="D153" s="53" t="s">
        <v>60</v>
      </c>
      <c r="E153" s="6"/>
      <c r="F153" s="6"/>
      <c r="G153" s="6"/>
      <c r="H153" s="6"/>
      <c r="I153" s="86"/>
      <c r="J153" s="6"/>
      <c r="K153" s="6"/>
    </row>
    <row r="154" spans="2:11" ht="108">
      <c r="B154" s="1448"/>
      <c r="C154" s="93"/>
      <c r="D154" s="46" t="s">
        <v>882</v>
      </c>
      <c r="E154" s="6"/>
      <c r="F154" s="6"/>
      <c r="G154" s="6"/>
      <c r="H154" s="6"/>
      <c r="I154" s="86"/>
      <c r="J154" s="6"/>
      <c r="K154" s="6"/>
    </row>
    <row r="155" spans="2:11">
      <c r="B155" s="1448"/>
      <c r="C155" s="93"/>
      <c r="D155" s="53" t="s">
        <v>134</v>
      </c>
      <c r="E155" s="6"/>
      <c r="F155" s="6"/>
      <c r="G155" s="6"/>
      <c r="H155" s="6"/>
      <c r="I155" s="86"/>
      <c r="J155" s="6"/>
      <c r="K155" s="6"/>
    </row>
    <row r="156" spans="2:11">
      <c r="B156" s="1448"/>
      <c r="C156" s="93"/>
      <c r="D156" s="46" t="s">
        <v>64</v>
      </c>
      <c r="E156" s="6"/>
      <c r="F156" s="6"/>
      <c r="G156" s="6"/>
      <c r="H156" s="6"/>
      <c r="I156" s="86"/>
      <c r="J156" s="6"/>
      <c r="K156" s="6"/>
    </row>
    <row r="157" spans="2:11">
      <c r="B157" s="1448"/>
      <c r="C157" s="93"/>
      <c r="D157" s="46" t="s">
        <v>65</v>
      </c>
      <c r="E157" s="6"/>
      <c r="F157" s="6"/>
      <c r="G157" s="6"/>
      <c r="H157" s="6"/>
      <c r="I157" s="86"/>
      <c r="J157" s="6"/>
      <c r="K157" s="6"/>
    </row>
    <row r="158" spans="2:11">
      <c r="B158" s="1448"/>
      <c r="C158" s="93"/>
      <c r="D158" s="46" t="s">
        <v>836</v>
      </c>
      <c r="E158" s="6"/>
      <c r="F158" s="6"/>
      <c r="G158" s="6"/>
      <c r="H158" s="6"/>
      <c r="I158" s="86"/>
      <c r="J158" s="6"/>
      <c r="K158" s="6"/>
    </row>
    <row r="159" spans="2:11" ht="36.75" thickBot="1">
      <c r="B159" s="1449"/>
      <c r="C159" s="3"/>
      <c r="D159" s="40" t="s">
        <v>883</v>
      </c>
      <c r="E159" s="6"/>
      <c r="F159" s="6"/>
      <c r="G159" s="6"/>
      <c r="H159" s="6"/>
      <c r="I159" s="86"/>
      <c r="J159" s="6"/>
      <c r="K159" s="6"/>
    </row>
    <row r="160" spans="2:11" ht="24.75" thickBot="1">
      <c r="B160" s="47" t="s">
        <v>72</v>
      </c>
      <c r="C160" s="3"/>
      <c r="D160" s="40"/>
      <c r="E160" s="6"/>
      <c r="F160" s="6"/>
      <c r="G160" s="6"/>
      <c r="H160" s="6"/>
      <c r="I160" s="86"/>
      <c r="J160" s="6"/>
      <c r="K160" s="6"/>
    </row>
    <row r="161" spans="2:11" ht="312">
      <c r="B161" s="1447" t="s">
        <v>73</v>
      </c>
      <c r="C161" s="93"/>
      <c r="D161" s="46" t="s">
        <v>884</v>
      </c>
      <c r="E161" s="6"/>
      <c r="F161" s="6"/>
      <c r="G161" s="6"/>
      <c r="H161" s="6"/>
      <c r="I161" s="86"/>
      <c r="J161" s="6"/>
      <c r="K161" s="6"/>
    </row>
    <row r="162" spans="2:11" ht="324">
      <c r="B162" s="1448"/>
      <c r="C162" s="93"/>
      <c r="D162" s="46" t="s">
        <v>885</v>
      </c>
      <c r="E162" s="6"/>
      <c r="F162" s="6"/>
      <c r="G162" s="6"/>
      <c r="H162" s="6"/>
      <c r="I162" s="86"/>
      <c r="J162" s="6"/>
      <c r="K162" s="6"/>
    </row>
    <row r="163" spans="2:11" ht="108">
      <c r="B163" s="1448"/>
      <c r="C163" s="93"/>
      <c r="D163" s="46" t="s">
        <v>886</v>
      </c>
      <c r="E163" s="6"/>
      <c r="F163" s="6"/>
      <c r="G163" s="6"/>
      <c r="H163" s="6"/>
      <c r="I163" s="86"/>
      <c r="J163" s="6"/>
      <c r="K163" s="6"/>
    </row>
    <row r="164" spans="2:11" ht="72.75" thickBot="1">
      <c r="B164" s="1449"/>
      <c r="C164" s="3"/>
      <c r="D164" s="40" t="s">
        <v>887</v>
      </c>
      <c r="E164" s="6"/>
      <c r="F164" s="6"/>
      <c r="G164" s="6"/>
      <c r="H164" s="6"/>
      <c r="I164" s="86"/>
      <c r="J164" s="6"/>
      <c r="K164" s="6"/>
    </row>
    <row r="165" spans="2:11" ht="24">
      <c r="B165" s="1447" t="s">
        <v>90</v>
      </c>
      <c r="C165" s="93"/>
      <c r="D165" s="53" t="s">
        <v>879</v>
      </c>
      <c r="E165" s="6"/>
      <c r="F165" s="6"/>
      <c r="G165" s="6"/>
      <c r="H165" s="6"/>
      <c r="I165" s="86"/>
      <c r="J165" s="6"/>
      <c r="K165" s="6"/>
    </row>
    <row r="166" spans="2:11">
      <c r="B166" s="1448"/>
      <c r="C166" s="93"/>
      <c r="D166" s="17"/>
      <c r="E166" s="6"/>
      <c r="F166" s="6"/>
      <c r="G166" s="6"/>
      <c r="H166" s="6"/>
      <c r="I166" s="86"/>
      <c r="J166" s="6"/>
      <c r="K166" s="6"/>
    </row>
    <row r="167" spans="2:11">
      <c r="B167" s="1448"/>
      <c r="C167" s="93"/>
      <c r="D167" s="46" t="s">
        <v>91</v>
      </c>
      <c r="E167" s="6"/>
      <c r="F167" s="6"/>
      <c r="G167" s="6"/>
      <c r="H167" s="6"/>
      <c r="I167" s="86"/>
      <c r="J167" s="6"/>
      <c r="K167" s="6"/>
    </row>
    <row r="168" spans="2:11" ht="37.5">
      <c r="B168" s="1448"/>
      <c r="C168" s="93"/>
      <c r="D168" s="46" t="s">
        <v>888</v>
      </c>
      <c r="E168" s="6"/>
      <c r="F168" s="6"/>
      <c r="G168" s="6"/>
      <c r="H168" s="6"/>
      <c r="I168" s="86"/>
      <c r="J168" s="6"/>
      <c r="K168" s="6"/>
    </row>
    <row r="169" spans="2:11" ht="37.5">
      <c r="B169" s="1448"/>
      <c r="C169" s="93"/>
      <c r="D169" s="46" t="s">
        <v>889</v>
      </c>
      <c r="E169" s="6"/>
      <c r="F169" s="6"/>
      <c r="G169" s="6"/>
      <c r="H169" s="6"/>
      <c r="I169" s="86"/>
      <c r="J169" s="6"/>
      <c r="K169" s="6"/>
    </row>
    <row r="170" spans="2:11" ht="60">
      <c r="B170" s="1448"/>
      <c r="C170" s="93"/>
      <c r="D170" s="46" t="s">
        <v>890</v>
      </c>
      <c r="E170" s="6"/>
      <c r="F170" s="6"/>
      <c r="G170" s="6"/>
      <c r="H170" s="6"/>
      <c r="I170" s="86"/>
      <c r="J170" s="6"/>
      <c r="K170" s="6"/>
    </row>
    <row r="171" spans="2:11" ht="97.5">
      <c r="B171" s="1448"/>
      <c r="C171" s="93"/>
      <c r="D171" s="46" t="s">
        <v>891</v>
      </c>
      <c r="E171" s="6"/>
      <c r="F171" s="6"/>
      <c r="G171" s="6"/>
      <c r="H171" s="6"/>
      <c r="I171" s="86"/>
      <c r="J171" s="6"/>
      <c r="K171" s="6"/>
    </row>
    <row r="172" spans="2:11" ht="24">
      <c r="B172" s="1448"/>
      <c r="C172" s="93"/>
      <c r="D172" s="53" t="s">
        <v>892</v>
      </c>
      <c r="E172" s="6"/>
      <c r="F172" s="6"/>
      <c r="G172" s="6"/>
      <c r="H172" s="6"/>
      <c r="I172" s="86"/>
      <c r="J172" s="6"/>
      <c r="K172" s="6"/>
    </row>
    <row r="173" spans="2:11">
      <c r="B173" s="1448"/>
      <c r="C173" s="93"/>
      <c r="D173" s="17"/>
      <c r="E173" s="6"/>
      <c r="F173" s="6"/>
      <c r="G173" s="6"/>
      <c r="H173" s="6"/>
      <c r="I173" s="86"/>
      <c r="J173" s="6"/>
      <c r="K173" s="6"/>
    </row>
    <row r="174" spans="2:11">
      <c r="B174" s="1448"/>
      <c r="C174" s="93"/>
      <c r="D174" s="46" t="s">
        <v>91</v>
      </c>
      <c r="E174" s="6"/>
      <c r="F174" s="6"/>
      <c r="G174" s="6"/>
      <c r="H174" s="6"/>
      <c r="I174" s="86"/>
      <c r="J174" s="6"/>
      <c r="K174" s="6"/>
    </row>
    <row r="175" spans="2:11" ht="37.5">
      <c r="B175" s="1448"/>
      <c r="C175" s="93"/>
      <c r="D175" s="46" t="s">
        <v>893</v>
      </c>
      <c r="E175" s="6"/>
      <c r="F175" s="6"/>
      <c r="G175" s="6"/>
      <c r="H175" s="6"/>
      <c r="I175" s="86"/>
      <c r="J175" s="6"/>
      <c r="K175" s="6"/>
    </row>
    <row r="176" spans="2:11" ht="37.5">
      <c r="B176" s="1448"/>
      <c r="C176" s="93"/>
      <c r="D176" s="46" t="s">
        <v>894</v>
      </c>
      <c r="E176" s="6"/>
      <c r="F176" s="6"/>
      <c r="G176" s="6"/>
      <c r="H176" s="6"/>
      <c r="I176" s="86"/>
      <c r="J176" s="6"/>
      <c r="K176" s="6"/>
    </row>
    <row r="177" spans="2:11" ht="37.5">
      <c r="B177" s="1448"/>
      <c r="C177" s="93"/>
      <c r="D177" s="46" t="s">
        <v>895</v>
      </c>
      <c r="E177" s="6"/>
      <c r="F177" s="6"/>
      <c r="G177" s="6"/>
      <c r="H177" s="6"/>
      <c r="I177" s="86"/>
      <c r="J177" s="6"/>
      <c r="K177" s="6"/>
    </row>
    <row r="178" spans="2:11" ht="60">
      <c r="B178" s="1448"/>
      <c r="C178" s="93"/>
      <c r="D178" s="46" t="s">
        <v>890</v>
      </c>
      <c r="E178" s="6"/>
      <c r="F178" s="6"/>
      <c r="G178" s="6"/>
      <c r="H178" s="6"/>
      <c r="I178" s="86"/>
      <c r="J178" s="6"/>
      <c r="K178" s="6"/>
    </row>
    <row r="179" spans="2:11" ht="60.75" thickBot="1">
      <c r="B179" s="1449"/>
      <c r="C179" s="3"/>
      <c r="D179" s="40" t="s">
        <v>896</v>
      </c>
      <c r="E179" s="6"/>
      <c r="F179" s="6"/>
      <c r="G179" s="6"/>
      <c r="H179" s="6"/>
      <c r="I179" s="86"/>
      <c r="J179" s="6"/>
      <c r="K179" s="6"/>
    </row>
    <row r="180" spans="2:11">
      <c r="B180" s="6"/>
      <c r="D180" s="6"/>
      <c r="E180" s="6"/>
      <c r="F180" s="6"/>
      <c r="G180" s="6"/>
      <c r="H180" s="6"/>
      <c r="I180" s="86"/>
      <c r="J180" s="6"/>
      <c r="K180" s="6"/>
    </row>
    <row r="181" spans="2:11">
      <c r="B181" s="6"/>
      <c r="D181" s="6"/>
      <c r="E181" s="6"/>
      <c r="F181" s="6"/>
      <c r="G181" s="6"/>
      <c r="H181" s="6"/>
      <c r="I181" s="86"/>
      <c r="J181" s="6"/>
      <c r="K181" s="6"/>
    </row>
    <row r="182" spans="2:11">
      <c r="B182" s="6"/>
      <c r="D182" s="6"/>
      <c r="E182" s="6"/>
      <c r="F182" s="6"/>
      <c r="G182" s="6"/>
      <c r="H182" s="6"/>
      <c r="I182" s="86"/>
      <c r="J182" s="6"/>
      <c r="K182" s="6"/>
    </row>
    <row r="183" spans="2:11">
      <c r="B183" s="6"/>
      <c r="D183" s="6"/>
      <c r="E183" s="6"/>
      <c r="F183" s="6"/>
      <c r="G183" s="6"/>
      <c r="H183" s="6"/>
      <c r="I183" s="86"/>
      <c r="J183" s="6"/>
      <c r="K183" s="6"/>
    </row>
    <row r="184" spans="2:11">
      <c r="B184" s="6"/>
      <c r="D184" s="6"/>
      <c r="E184" s="6"/>
      <c r="F184" s="6"/>
      <c r="G184" s="6"/>
      <c r="H184" s="6"/>
      <c r="I184" s="86"/>
      <c r="J184" s="6"/>
      <c r="K184" s="6"/>
    </row>
    <row r="185" spans="2:11">
      <c r="B185" s="6"/>
      <c r="D185" s="6"/>
      <c r="E185" s="6"/>
      <c r="F185" s="6"/>
      <c r="G185" s="6"/>
      <c r="H185" s="6"/>
      <c r="I185" s="86"/>
      <c r="J185" s="6"/>
      <c r="K185" s="6"/>
    </row>
    <row r="186" spans="2:11">
      <c r="B186" s="6"/>
      <c r="D186" s="6"/>
      <c r="E186" s="6"/>
      <c r="F186" s="6"/>
      <c r="G186" s="6"/>
      <c r="H186" s="6"/>
      <c r="I186" s="86"/>
      <c r="J186" s="6"/>
      <c r="K186" s="6"/>
    </row>
    <row r="187" spans="2:11">
      <c r="B187" s="6"/>
      <c r="D187" s="6"/>
      <c r="E187" s="6"/>
      <c r="F187" s="6"/>
      <c r="G187" s="6"/>
      <c r="H187" s="6"/>
      <c r="I187" s="86"/>
      <c r="J187" s="6"/>
      <c r="K187" s="6"/>
    </row>
    <row r="188" spans="2:11">
      <c r="B188" s="6"/>
      <c r="D188" s="6"/>
      <c r="E188" s="6"/>
      <c r="F188" s="6"/>
      <c r="G188" s="6"/>
      <c r="H188" s="6"/>
      <c r="I188" s="86"/>
      <c r="J188" s="6"/>
      <c r="K188" s="6"/>
    </row>
    <row r="189" spans="2:11">
      <c r="B189" s="6"/>
      <c r="D189" s="6"/>
      <c r="E189" s="6"/>
      <c r="F189" s="6"/>
      <c r="G189" s="6"/>
      <c r="H189" s="6"/>
      <c r="I189" s="86"/>
      <c r="J189" s="6"/>
      <c r="K189" s="6"/>
    </row>
    <row r="190" spans="2:11">
      <c r="B190" s="6"/>
      <c r="D190" s="6"/>
      <c r="E190" s="6"/>
      <c r="F190" s="6"/>
      <c r="G190" s="6"/>
      <c r="H190" s="6"/>
      <c r="I190" s="86"/>
      <c r="J190" s="6"/>
      <c r="K190" s="6"/>
    </row>
    <row r="191" spans="2:11">
      <c r="B191" s="6"/>
      <c r="D191" s="6"/>
      <c r="E191" s="6"/>
      <c r="F191" s="6"/>
      <c r="G191" s="6"/>
      <c r="H191" s="6"/>
      <c r="I191" s="86"/>
      <c r="J191" s="6"/>
      <c r="K191" s="6"/>
    </row>
    <row r="192" spans="2:11">
      <c r="B192" s="6"/>
      <c r="D192" s="6"/>
      <c r="E192" s="6"/>
      <c r="F192" s="6"/>
      <c r="G192" s="6"/>
      <c r="H192" s="6"/>
      <c r="I192" s="86"/>
      <c r="J192" s="6"/>
      <c r="K192" s="6"/>
    </row>
    <row r="193" spans="2:11">
      <c r="B193" s="6"/>
      <c r="D193" s="6"/>
      <c r="E193" s="6"/>
      <c r="F193" s="6"/>
      <c r="G193" s="6"/>
      <c r="H193" s="6"/>
      <c r="I193" s="86"/>
      <c r="J193" s="6"/>
      <c r="K193" s="6"/>
    </row>
    <row r="194" spans="2:11">
      <c r="B194" s="6"/>
      <c r="D194" s="6"/>
      <c r="E194" s="6"/>
      <c r="F194" s="6"/>
      <c r="G194" s="6"/>
      <c r="H194" s="6"/>
      <c r="I194" s="86"/>
      <c r="J194" s="6"/>
      <c r="K194" s="6"/>
    </row>
    <row r="195" spans="2:11">
      <c r="B195" s="6"/>
      <c r="D195" s="6"/>
      <c r="E195" s="6"/>
      <c r="F195" s="6"/>
      <c r="G195" s="6"/>
      <c r="H195" s="6"/>
      <c r="I195" s="86"/>
      <c r="J195" s="6"/>
      <c r="K195" s="6"/>
    </row>
  </sheetData>
  <mergeCells count="59">
    <mergeCell ref="B135:B141"/>
    <mergeCell ref="D102:I102"/>
    <mergeCell ref="D106:I106"/>
    <mergeCell ref="D107:I107"/>
    <mergeCell ref="D108:I108"/>
    <mergeCell ref="B125:E125"/>
    <mergeCell ref="B126:B132"/>
    <mergeCell ref="D93:I93"/>
    <mergeCell ref="D94:I94"/>
    <mergeCell ref="D95:I95"/>
    <mergeCell ref="D100:I100"/>
    <mergeCell ref="B134:E134"/>
    <mergeCell ref="D82:I82"/>
    <mergeCell ref="D83:I83"/>
    <mergeCell ref="D87:I87"/>
    <mergeCell ref="D88:I88"/>
    <mergeCell ref="D77:I77"/>
    <mergeCell ref="G27:G28"/>
    <mergeCell ref="B15:B112"/>
    <mergeCell ref="D15:I15"/>
    <mergeCell ref="D16:I16"/>
    <mergeCell ref="D17:I17"/>
    <mergeCell ref="D20:I20"/>
    <mergeCell ref="D25:I25"/>
    <mergeCell ref="D26:I26"/>
    <mergeCell ref="D40:I40"/>
    <mergeCell ref="D41:I41"/>
    <mergeCell ref="F27:F28"/>
    <mergeCell ref="D69:I69"/>
    <mergeCell ref="D42:I42"/>
    <mergeCell ref="D47:I47"/>
    <mergeCell ref="D48:I48"/>
    <mergeCell ref="D49:I49"/>
    <mergeCell ref="B148:E148"/>
    <mergeCell ref="B153:B159"/>
    <mergeCell ref="B161:B164"/>
    <mergeCell ref="B165:B179"/>
    <mergeCell ref="D27:D28"/>
    <mergeCell ref="E27:E28"/>
    <mergeCell ref="D54:I54"/>
    <mergeCell ref="D55:I55"/>
    <mergeCell ref="D56:I56"/>
    <mergeCell ref="D61:I61"/>
    <mergeCell ref="D62:I62"/>
    <mergeCell ref="D63:I63"/>
    <mergeCell ref="D68:I68"/>
    <mergeCell ref="D101:I101"/>
    <mergeCell ref="D70:I70"/>
    <mergeCell ref="D76:I76"/>
    <mergeCell ref="B10:D10"/>
    <mergeCell ref="F10:S10"/>
    <mergeCell ref="F11:S11"/>
    <mergeCell ref="E12:R12"/>
    <mergeCell ref="E13:R13"/>
    <mergeCell ref="A1:P1"/>
    <mergeCell ref="A2:P2"/>
    <mergeCell ref="A3:P3"/>
    <mergeCell ref="A4:D4"/>
    <mergeCell ref="A5:P5"/>
  </mergeCells>
  <conditionalFormatting sqref="F120">
    <cfRule type="containsText" dxfId="44" priority="7" operator="containsText" text="ERROR">
      <formula>NOT(ISERROR(SEARCH("ERROR",F120)))</formula>
    </cfRule>
  </conditionalFormatting>
  <conditionalFormatting sqref="F11:S11">
    <cfRule type="expression" dxfId="43" priority="4">
      <formula>E11="NO SE REPORTA"</formula>
    </cfRule>
    <cfRule type="expression" dxfId="42" priority="5">
      <formula>E10="NO APLICA"</formula>
    </cfRule>
  </conditionalFormatting>
  <conditionalFormatting sqref="E12:R12">
    <cfRule type="expression" dxfId="41" priority="3">
      <formula>E11="SI SE REPORTA"</formula>
    </cfRule>
  </conditionalFormatting>
  <conditionalFormatting sqref="F10:S10">
    <cfRule type="expression" dxfId="40" priority="1">
      <formula>E10="NO SE REPORTA"</formula>
    </cfRule>
    <cfRule type="expression" dxfId="39" priority="2">
      <formula>E9="NO APLICA"</formula>
    </cfRule>
  </conditionalFormatting>
  <dataValidations count="5">
    <dataValidation type="whole" operator="greaterThanOrEqual" allowBlank="1" showErrorMessage="1" errorTitle="ERROR" error="Escriba un número igual o mayor que 0" promptTitle="ERROR" prompt="Escriba un número igual o mayor que 0" sqref="E65:E67 E18:E19 E97:H98 E44:E46 E22:H23 E51:H52 E90:H91 E72:H73 E79:H80 E85:E86 E110:H111 E58:H59 E29:H38">
      <formula1>0</formula1>
    </dataValidation>
    <dataValidation allowBlank="1" showInputMessage="1" showErrorMessage="1" sqref="E60:H60 E74:I74 I72:I73 I79:I81 E81:H81 E24:H24 I58:I60 I51:I53 E53:H53 E39:H39"/>
    <dataValidation type="decimal" allowBlank="1" showInputMessage="1" showErrorMessage="1" errorTitle="ERROR" error="Escriba un valor entre 0% y 100%" sqref="F115:F119">
      <formula1>0</formula1>
      <formula2>1</formula2>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legacy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179"/>
  <sheetViews>
    <sheetView showGridLines="0" topLeftCell="D2" zoomScale="98" zoomScaleNormal="98" workbookViewId="0">
      <selection activeCell="M18" sqref="M18"/>
    </sheetView>
  </sheetViews>
  <sheetFormatPr baseColWidth="10" defaultRowHeight="15"/>
  <cols>
    <col min="1" max="1" width="1.85546875" customWidth="1"/>
    <col min="2" max="2" width="12.85546875" customWidth="1"/>
    <col min="3" max="3" width="5" style="86" bestFit="1" customWidth="1"/>
    <col min="4" max="4" width="34.85546875" customWidth="1"/>
    <col min="5" max="5" width="12.140625" customWidth="1"/>
  </cols>
  <sheetData>
    <row r="1" spans="1:21" s="490" customFormat="1" ht="100.5" customHeight="1" thickBot="1">
      <c r="A1" s="1334"/>
      <c r="B1" s="1335"/>
      <c r="C1" s="1335"/>
      <c r="D1" s="1335"/>
      <c r="E1" s="1335"/>
      <c r="F1" s="1335"/>
      <c r="G1" s="1335"/>
      <c r="H1" s="1335"/>
      <c r="I1" s="1335"/>
      <c r="J1" s="1335"/>
      <c r="K1" s="1335"/>
      <c r="L1" s="1335"/>
      <c r="M1" s="1335"/>
      <c r="N1" s="1335"/>
      <c r="O1" s="1335"/>
      <c r="P1" s="1336"/>
      <c r="Q1" s="389"/>
      <c r="R1" s="389"/>
    </row>
    <row r="2" spans="1:21" s="491" customFormat="1" ht="16.5" thickBot="1">
      <c r="A2" s="1342" t="str">
        <f>'Datos Generales'!C5</f>
        <v>Corporación Autónoma Regional del Cesar – CORPOCESAR</v>
      </c>
      <c r="B2" s="1343"/>
      <c r="C2" s="1343"/>
      <c r="D2" s="1343"/>
      <c r="E2" s="1343"/>
      <c r="F2" s="1343"/>
      <c r="G2" s="1343"/>
      <c r="H2" s="1343"/>
      <c r="I2" s="1343"/>
      <c r="J2" s="1343"/>
      <c r="K2" s="1343"/>
      <c r="L2" s="1343"/>
      <c r="M2" s="1343"/>
      <c r="N2" s="1343"/>
      <c r="O2" s="1343"/>
      <c r="P2" s="1344"/>
      <c r="Q2" s="389"/>
      <c r="R2" s="389"/>
    </row>
    <row r="3" spans="1:21" s="491" customFormat="1" ht="16.5" thickBot="1">
      <c r="A3" s="1337" t="s">
        <v>1294</v>
      </c>
      <c r="B3" s="1338"/>
      <c r="C3" s="1338"/>
      <c r="D3" s="1338"/>
      <c r="E3" s="1338"/>
      <c r="F3" s="1338"/>
      <c r="G3" s="1338"/>
      <c r="H3" s="1338"/>
      <c r="I3" s="1338"/>
      <c r="J3" s="1338"/>
      <c r="K3" s="1338"/>
      <c r="L3" s="1338"/>
      <c r="M3" s="1338"/>
      <c r="N3" s="1338"/>
      <c r="O3" s="1338"/>
      <c r="P3" s="1339"/>
      <c r="Q3" s="389"/>
      <c r="R3" s="389"/>
    </row>
    <row r="4" spans="1:21" s="491" customFormat="1" ht="16.5" thickBot="1">
      <c r="A4" s="1340" t="s">
        <v>1293</v>
      </c>
      <c r="B4" s="1341"/>
      <c r="C4" s="1341"/>
      <c r="D4" s="1341"/>
      <c r="E4" s="498">
        <v>2022</v>
      </c>
      <c r="F4" s="498"/>
      <c r="G4" s="498"/>
      <c r="H4" s="498"/>
      <c r="I4" s="498"/>
      <c r="J4" s="498"/>
      <c r="K4" s="498"/>
      <c r="L4" s="499"/>
      <c r="M4" s="499"/>
      <c r="N4" s="499"/>
      <c r="O4" s="499"/>
      <c r="P4" s="500"/>
      <c r="Q4" s="389"/>
      <c r="R4" s="389"/>
    </row>
    <row r="5" spans="1:21" s="235" customFormat="1" ht="16.5" customHeight="1" thickBot="1">
      <c r="A5" s="1337" t="s">
        <v>943</v>
      </c>
      <c r="B5" s="1338"/>
      <c r="C5" s="1338"/>
      <c r="D5" s="1338"/>
      <c r="E5" s="1338"/>
      <c r="F5" s="1338"/>
      <c r="G5" s="1338"/>
      <c r="H5" s="1338"/>
      <c r="I5" s="1338"/>
      <c r="J5" s="1338"/>
      <c r="K5" s="1338"/>
      <c r="L5" s="1338"/>
      <c r="M5" s="1338"/>
      <c r="N5" s="1338"/>
      <c r="O5" s="1338"/>
      <c r="P5" s="1339"/>
    </row>
    <row r="6" spans="1:21">
      <c r="A6" s="235"/>
      <c r="B6" s="239" t="s">
        <v>1</v>
      </c>
      <c r="C6" s="240"/>
      <c r="D6" s="238"/>
      <c r="E6" s="248"/>
      <c r="F6" s="238" t="s">
        <v>128</v>
      </c>
      <c r="G6" s="238"/>
      <c r="H6" s="238"/>
      <c r="I6" s="238"/>
      <c r="J6" s="238"/>
      <c r="K6" s="6"/>
    </row>
    <row r="7" spans="1:21" ht="15.75" thickBot="1">
      <c r="A7" s="235"/>
      <c r="B7" s="241"/>
      <c r="C7" s="242"/>
      <c r="D7" s="238"/>
      <c r="E7" s="243"/>
      <c r="F7" s="238" t="s">
        <v>129</v>
      </c>
      <c r="G7" s="238"/>
      <c r="H7" s="238"/>
      <c r="I7" s="238"/>
      <c r="J7" s="238"/>
      <c r="K7" s="6"/>
    </row>
    <row r="8" spans="1:21" ht="15.75" thickBot="1">
      <c r="A8" s="235"/>
      <c r="B8" s="250" t="s">
        <v>1181</v>
      </c>
      <c r="C8" s="251">
        <v>2022</v>
      </c>
      <c r="D8" s="246" t="s">
        <v>1232</v>
      </c>
      <c r="E8" s="253"/>
      <c r="F8" s="238" t="s">
        <v>130</v>
      </c>
      <c r="G8" s="238"/>
      <c r="H8" s="238"/>
      <c r="I8" s="238"/>
      <c r="J8" s="238"/>
      <c r="K8" s="6"/>
    </row>
    <row r="9" spans="1:21">
      <c r="A9" s="235"/>
      <c r="B9" s="462" t="s">
        <v>1182</v>
      </c>
      <c r="C9" s="254"/>
      <c r="D9" s="238"/>
      <c r="E9" s="238"/>
      <c r="F9" s="238"/>
      <c r="G9" s="238"/>
      <c r="H9" s="238"/>
      <c r="I9" s="238"/>
      <c r="J9" s="238"/>
      <c r="K9" s="6"/>
    </row>
    <row r="10" spans="1:21" s="389" customFormat="1">
      <c r="A10" s="235"/>
      <c r="B10" s="1392" t="s">
        <v>1236</v>
      </c>
      <c r="C10" s="1392"/>
      <c r="D10" s="1392"/>
      <c r="E10" s="468" t="s">
        <v>1233</v>
      </c>
      <c r="F10" s="1622" t="str">
        <f>'24POT'!$F$9</f>
        <v>Acuerdo 005 del 22 de mayo de 2020 (Por medio del cual se aprueba el Plan de Accion Institucional 2020 -2023)</v>
      </c>
      <c r="G10" s="1623"/>
      <c r="H10" s="1623"/>
      <c r="I10" s="1623"/>
      <c r="J10" s="1623"/>
      <c r="K10" s="1623"/>
      <c r="L10" s="1623"/>
      <c r="M10" s="1623"/>
      <c r="N10" s="1623"/>
      <c r="O10" s="1623"/>
      <c r="P10" s="1623"/>
      <c r="Q10" s="1623"/>
      <c r="R10" s="1623"/>
      <c r="S10" s="1623"/>
      <c r="T10" s="464"/>
      <c r="U10" s="464"/>
    </row>
    <row r="11" spans="1:21" s="389" customFormat="1" ht="14.45" customHeight="1">
      <c r="A11" s="235"/>
      <c r="B11" s="465"/>
      <c r="C11" s="466"/>
      <c r="D11" s="467" t="str">
        <f>IF(E10="SI APLICA","¿El indicador no se reporta por limitaciones de información disponible? ","")</f>
        <v xml:space="preserve">¿El indicador no se reporta por limitaciones de información disponible? </v>
      </c>
      <c r="E11" s="469" t="s">
        <v>1235</v>
      </c>
      <c r="F11" s="1622"/>
      <c r="G11" s="1623"/>
      <c r="H11" s="1623"/>
      <c r="I11" s="1623"/>
      <c r="J11" s="1623"/>
      <c r="K11" s="1623"/>
      <c r="L11" s="1623"/>
      <c r="M11" s="1623"/>
      <c r="N11" s="1623"/>
      <c r="O11" s="1623"/>
      <c r="P11" s="1623"/>
      <c r="Q11" s="1623"/>
      <c r="R11" s="1623"/>
      <c r="S11" s="1623"/>
    </row>
    <row r="12" spans="1:21" s="389" customFormat="1" ht="41.25" customHeight="1">
      <c r="A12" s="235"/>
      <c r="B12" s="462"/>
      <c r="C12" s="292"/>
      <c r="D12" s="467" t="str">
        <f>IF(E11="SI SE REPORTA","¿Qué programas o proyectos del Plan de Acción están asociados al indicador? ","")</f>
        <v xml:space="preserve">¿Qué programas o proyectos del Plan de Acción están asociados al indicador? </v>
      </c>
      <c r="E12" s="1430" t="s">
        <v>2119</v>
      </c>
      <c r="F12" s="1430"/>
      <c r="G12" s="1430"/>
      <c r="H12" s="1430"/>
      <c r="I12" s="1430"/>
      <c r="J12" s="1430"/>
      <c r="K12" s="1430"/>
      <c r="L12" s="1430"/>
      <c r="M12" s="1430"/>
      <c r="N12" s="1430"/>
      <c r="O12" s="1430"/>
      <c r="P12" s="1430"/>
      <c r="Q12" s="1430"/>
      <c r="R12" s="1430"/>
    </row>
    <row r="13" spans="1:21" s="389" customFormat="1" ht="21.95" customHeight="1">
      <c r="A13" s="235"/>
      <c r="B13" s="462"/>
      <c r="C13" s="292"/>
      <c r="D13" s="467" t="s">
        <v>1238</v>
      </c>
      <c r="E13" s="1395"/>
      <c r="F13" s="1396"/>
      <c r="G13" s="1396"/>
      <c r="H13" s="1396"/>
      <c r="I13" s="1396"/>
      <c r="J13" s="1396"/>
      <c r="K13" s="1396"/>
      <c r="L13" s="1396"/>
      <c r="M13" s="1396"/>
      <c r="N13" s="1396"/>
      <c r="O13" s="1396"/>
      <c r="P13" s="1396"/>
      <c r="Q13" s="1396"/>
      <c r="R13" s="1397"/>
    </row>
    <row r="14" spans="1:21" s="389" customFormat="1" ht="6.95" customHeight="1" thickBot="1">
      <c r="A14" s="235"/>
      <c r="B14" s="462"/>
      <c r="C14" s="254"/>
      <c r="D14" s="238"/>
      <c r="E14" s="238"/>
      <c r="F14" s="238"/>
      <c r="G14" s="238"/>
      <c r="H14" s="238"/>
      <c r="I14" s="238"/>
      <c r="J14" s="238"/>
      <c r="K14" s="6"/>
    </row>
    <row r="15" spans="1:21">
      <c r="A15" s="235"/>
      <c r="B15" s="1369" t="s">
        <v>2</v>
      </c>
      <c r="C15" s="257"/>
      <c r="D15" s="1351"/>
      <c r="E15" s="1352"/>
      <c r="F15" s="1352"/>
      <c r="G15" s="1352"/>
      <c r="H15" s="1352"/>
      <c r="I15" s="1353"/>
      <c r="J15" s="238"/>
      <c r="K15" s="6"/>
    </row>
    <row r="16" spans="1:21" ht="15.75" thickBot="1">
      <c r="A16" s="235"/>
      <c r="B16" s="1370"/>
      <c r="C16" s="265"/>
      <c r="D16" s="1381" t="s">
        <v>3</v>
      </c>
      <c r="E16" s="1382"/>
      <c r="F16" s="1382"/>
      <c r="G16" s="1382"/>
      <c r="H16" s="1382"/>
      <c r="I16" s="1383"/>
      <c r="J16" s="238"/>
      <c r="K16" s="6"/>
    </row>
    <row r="17" spans="1:11" ht="15.75" thickBot="1">
      <c r="A17" s="235"/>
      <c r="B17" s="1370"/>
      <c r="C17" s="261"/>
      <c r="D17" s="396" t="s">
        <v>150</v>
      </c>
      <c r="E17" s="269" t="s">
        <v>20</v>
      </c>
      <c r="F17" s="269" t="s">
        <v>21</v>
      </c>
      <c r="G17" s="269" t="s">
        <v>22</v>
      </c>
      <c r="H17" s="269" t="s">
        <v>23</v>
      </c>
      <c r="I17" s="269" t="s">
        <v>151</v>
      </c>
      <c r="J17" s="238"/>
      <c r="K17" s="6"/>
    </row>
    <row r="18" spans="1:11" ht="36.75" thickBot="1">
      <c r="A18" s="235"/>
      <c r="B18" s="1370"/>
      <c r="C18" s="261"/>
      <c r="D18" s="401" t="s">
        <v>958</v>
      </c>
      <c r="E18" s="149">
        <v>401</v>
      </c>
      <c r="F18" s="149">
        <v>626</v>
      </c>
      <c r="G18" s="149"/>
      <c r="H18" s="149"/>
      <c r="I18" s="420">
        <f>SUM(E18:H18)</f>
        <v>1027</v>
      </c>
      <c r="J18" s="238"/>
      <c r="K18" s="6"/>
    </row>
    <row r="19" spans="1:11" ht="36.75" thickBot="1">
      <c r="A19" s="235"/>
      <c r="B19" s="1370"/>
      <c r="C19" s="261"/>
      <c r="D19" s="401" t="s">
        <v>959</v>
      </c>
      <c r="E19" s="149">
        <v>22</v>
      </c>
      <c r="F19" s="149">
        <v>13</v>
      </c>
      <c r="G19" s="149"/>
      <c r="H19" s="149"/>
      <c r="I19" s="420">
        <f>SUM(E19:H19)</f>
        <v>35</v>
      </c>
      <c r="J19" s="238"/>
      <c r="K19" s="6"/>
    </row>
    <row r="20" spans="1:11" ht="36.75" thickBot="1">
      <c r="A20" s="235"/>
      <c r="B20" s="1370"/>
      <c r="C20" s="261"/>
      <c r="D20" s="401" t="s">
        <v>960</v>
      </c>
      <c r="E20" s="149">
        <v>39</v>
      </c>
      <c r="F20" s="149">
        <v>3</v>
      </c>
      <c r="G20" s="149"/>
      <c r="H20" s="149"/>
      <c r="I20" s="420">
        <f>SUM(E20:H20)</f>
        <v>42</v>
      </c>
      <c r="J20" s="238"/>
      <c r="K20" s="6"/>
    </row>
    <row r="21" spans="1:11" ht="24.75" thickBot="1">
      <c r="A21" s="235"/>
      <c r="B21" s="1371"/>
      <c r="C21" s="403"/>
      <c r="D21" s="401" t="s">
        <v>961</v>
      </c>
      <c r="E21" s="424">
        <f>+(E19+E20)/E18</f>
        <v>0.15211970074812967</v>
      </c>
      <c r="F21" s="424">
        <f>+(F19+F20)/F18</f>
        <v>2.5559105431309903E-2</v>
      </c>
      <c r="G21" s="424" t="e">
        <f>+(G19+G20)/G18</f>
        <v>#DIV/0!</v>
      </c>
      <c r="H21" s="424" t="e">
        <f>+(H19+H20)/H18</f>
        <v>#DIV/0!</v>
      </c>
      <c r="I21" s="424">
        <f>+(I19+I20)/I18</f>
        <v>7.4975657254138267E-2</v>
      </c>
      <c r="J21" s="238"/>
      <c r="K21" s="6"/>
    </row>
    <row r="22" spans="1:11" ht="36" customHeight="1" thickBot="1">
      <c r="A22" s="235"/>
      <c r="B22" s="400" t="s">
        <v>34</v>
      </c>
      <c r="C22" s="275"/>
      <c r="D22" s="1378" t="s">
        <v>962</v>
      </c>
      <c r="E22" s="1379"/>
      <c r="F22" s="1379"/>
      <c r="G22" s="1379"/>
      <c r="H22" s="1379"/>
      <c r="I22" s="1380"/>
      <c r="J22" s="238"/>
      <c r="K22" s="6"/>
    </row>
    <row r="23" spans="1:11" ht="36" customHeight="1" thickBot="1">
      <c r="A23" s="235"/>
      <c r="B23" s="400" t="s">
        <v>36</v>
      </c>
      <c r="C23" s="275"/>
      <c r="D23" s="1378" t="s">
        <v>159</v>
      </c>
      <c r="E23" s="1379"/>
      <c r="F23" s="1379"/>
      <c r="G23" s="1379"/>
      <c r="H23" s="1379"/>
      <c r="I23" s="1380"/>
      <c r="J23" s="238"/>
      <c r="K23" s="6"/>
    </row>
    <row r="24" spans="1:11" ht="15.75" thickBot="1">
      <c r="A24" s="235"/>
      <c r="B24" s="239"/>
      <c r="C24" s="240"/>
      <c r="D24" s="238"/>
      <c r="E24" s="238"/>
      <c r="F24" s="238"/>
      <c r="G24" s="238"/>
      <c r="H24" s="238"/>
      <c r="I24" s="238"/>
      <c r="J24" s="238"/>
      <c r="K24" s="6"/>
    </row>
    <row r="25" spans="1:11" ht="24" customHeight="1" thickBot="1">
      <c r="A25" s="235"/>
      <c r="B25" s="1366" t="s">
        <v>38</v>
      </c>
      <c r="C25" s="1367"/>
      <c r="D25" s="1367"/>
      <c r="E25" s="1368"/>
      <c r="F25" s="238"/>
      <c r="G25" s="238"/>
      <c r="H25" s="238"/>
      <c r="I25" s="238"/>
      <c r="J25" s="238"/>
      <c r="K25" s="6"/>
    </row>
    <row r="26" spans="1:11" ht="48.75" thickBot="1">
      <c r="A26" s="235"/>
      <c r="B26" s="1369">
        <v>1</v>
      </c>
      <c r="C26" s="261"/>
      <c r="D26" s="278" t="s">
        <v>39</v>
      </c>
      <c r="E26" s="447" t="s">
        <v>1421</v>
      </c>
      <c r="F26" s="238"/>
      <c r="G26" s="238"/>
      <c r="H26" s="238"/>
      <c r="I26" s="238"/>
      <c r="J26" s="238"/>
      <c r="K26" s="6"/>
    </row>
    <row r="27" spans="1:11" ht="24.75" thickBot="1">
      <c r="A27" s="235"/>
      <c r="B27" s="1370"/>
      <c r="C27" s="261"/>
      <c r="D27" s="401" t="s">
        <v>40</v>
      </c>
      <c r="E27" s="447" t="s">
        <v>1455</v>
      </c>
      <c r="F27" s="238"/>
      <c r="G27" s="238"/>
      <c r="H27" s="238"/>
      <c r="I27" s="238"/>
      <c r="J27" s="238"/>
      <c r="K27" s="6"/>
    </row>
    <row r="28" spans="1:11" ht="24.75" thickBot="1">
      <c r="A28" s="235"/>
      <c r="B28" s="1370"/>
      <c r="C28" s="261"/>
      <c r="D28" s="401" t="s">
        <v>41</v>
      </c>
      <c r="E28" s="447" t="s">
        <v>1454</v>
      </c>
      <c r="F28" s="238"/>
      <c r="G28" s="238"/>
      <c r="H28" s="238"/>
      <c r="I28" s="238"/>
      <c r="J28" s="238"/>
      <c r="K28" s="6"/>
    </row>
    <row r="29" spans="1:11" ht="24.75" thickBot="1">
      <c r="A29" s="235"/>
      <c r="B29" s="1370"/>
      <c r="C29" s="261"/>
      <c r="D29" s="401" t="s">
        <v>42</v>
      </c>
      <c r="E29" s="447" t="s">
        <v>1456</v>
      </c>
      <c r="F29" s="238"/>
      <c r="G29" s="238"/>
      <c r="H29" s="238"/>
      <c r="I29" s="238"/>
      <c r="J29" s="238"/>
      <c r="K29" s="6"/>
    </row>
    <row r="30" spans="1:11" ht="45.75" thickBot="1">
      <c r="A30" s="235"/>
      <c r="B30" s="1370"/>
      <c r="C30" s="261"/>
      <c r="D30" s="401" t="s">
        <v>43</v>
      </c>
      <c r="E30" s="576" t="s">
        <v>1457</v>
      </c>
      <c r="F30" s="238"/>
      <c r="G30" s="238"/>
      <c r="H30" s="238"/>
      <c r="I30" s="238"/>
      <c r="J30" s="238"/>
      <c r="K30" s="6"/>
    </row>
    <row r="31" spans="1:11" ht="15.75" thickBot="1">
      <c r="A31" s="235"/>
      <c r="B31" s="1370"/>
      <c r="C31" s="261"/>
      <c r="D31" s="401" t="s">
        <v>44</v>
      </c>
      <c r="E31" s="447">
        <v>5748960</v>
      </c>
      <c r="F31" s="238"/>
      <c r="G31" s="238"/>
      <c r="H31" s="238"/>
      <c r="I31" s="238"/>
      <c r="J31" s="238"/>
      <c r="K31" s="6"/>
    </row>
    <row r="32" spans="1:11" ht="24.75" thickBot="1">
      <c r="A32" s="235"/>
      <c r="B32" s="1371"/>
      <c r="C32" s="403"/>
      <c r="D32" s="401" t="s">
        <v>45</v>
      </c>
      <c r="E32" s="447" t="s">
        <v>1395</v>
      </c>
      <c r="F32" s="238"/>
      <c r="G32" s="238"/>
      <c r="H32" s="238"/>
      <c r="I32" s="238"/>
      <c r="J32" s="238"/>
      <c r="K32" s="6"/>
    </row>
    <row r="33" spans="1:11" ht="15.75" thickBot="1">
      <c r="A33" s="235"/>
      <c r="B33" s="239"/>
      <c r="C33" s="240"/>
      <c r="D33" s="238"/>
      <c r="E33" s="238"/>
      <c r="F33" s="238"/>
      <c r="G33" s="238"/>
      <c r="H33" s="238"/>
      <c r="I33" s="238"/>
      <c r="J33" s="238"/>
      <c r="K33" s="6"/>
    </row>
    <row r="34" spans="1:11" ht="15.75" thickBot="1">
      <c r="A34" s="235"/>
      <c r="B34" s="1366" t="s">
        <v>46</v>
      </c>
      <c r="C34" s="1367"/>
      <c r="D34" s="1367"/>
      <c r="E34" s="1368"/>
      <c r="F34" s="238"/>
      <c r="G34" s="238"/>
      <c r="H34" s="238"/>
      <c r="I34" s="238"/>
      <c r="J34" s="238"/>
      <c r="K34" s="6"/>
    </row>
    <row r="35" spans="1:11" ht="60.75" thickBot="1">
      <c r="A35" s="235"/>
      <c r="B35" s="1369">
        <v>1</v>
      </c>
      <c r="C35" s="261"/>
      <c r="D35" s="278" t="s">
        <v>39</v>
      </c>
      <c r="E35" s="616" t="s">
        <v>47</v>
      </c>
      <c r="F35" s="238"/>
      <c r="G35" s="238"/>
      <c r="H35" s="238"/>
      <c r="I35" s="238"/>
      <c r="J35" s="238"/>
      <c r="K35" s="6"/>
    </row>
    <row r="36" spans="1:11" ht="84.75" thickBot="1">
      <c r="A36" s="235"/>
      <c r="B36" s="1370"/>
      <c r="C36" s="261"/>
      <c r="D36" s="401" t="s">
        <v>40</v>
      </c>
      <c r="E36" s="619" t="s">
        <v>48</v>
      </c>
      <c r="F36" s="238"/>
      <c r="G36" s="238"/>
      <c r="H36" s="238"/>
      <c r="I36" s="238"/>
      <c r="J36" s="238"/>
      <c r="K36" s="6"/>
    </row>
    <row r="37" spans="1:11" ht="15.75" thickBot="1">
      <c r="A37" s="235"/>
      <c r="B37" s="1370"/>
      <c r="C37" s="261"/>
      <c r="D37" s="401" t="s">
        <v>41</v>
      </c>
      <c r="E37" s="577"/>
      <c r="F37" s="238"/>
      <c r="G37" s="238"/>
      <c r="H37" s="238"/>
      <c r="I37" s="238"/>
      <c r="J37" s="238"/>
      <c r="K37" s="6"/>
    </row>
    <row r="38" spans="1:11" ht="15.75" thickBot="1">
      <c r="A38" s="235"/>
      <c r="B38" s="1370"/>
      <c r="C38" s="261"/>
      <c r="D38" s="401" t="s">
        <v>42</v>
      </c>
      <c r="E38" s="577"/>
      <c r="F38" s="238"/>
      <c r="G38" s="238"/>
      <c r="H38" s="238"/>
      <c r="I38" s="238"/>
      <c r="J38" s="238"/>
      <c r="K38" s="6"/>
    </row>
    <row r="39" spans="1:11" ht="15.75" thickBot="1">
      <c r="A39" s="235"/>
      <c r="B39" s="1370"/>
      <c r="C39" s="261"/>
      <c r="D39" s="401" t="s">
        <v>43</v>
      </c>
      <c r="E39" s="577"/>
      <c r="F39" s="238"/>
      <c r="G39" s="238"/>
      <c r="H39" s="238"/>
      <c r="I39" s="238"/>
      <c r="J39" s="238"/>
      <c r="K39" s="6"/>
    </row>
    <row r="40" spans="1:11" ht="15.75" thickBot="1">
      <c r="A40" s="235"/>
      <c r="B40" s="1370"/>
      <c r="C40" s="261"/>
      <c r="D40" s="401" t="s">
        <v>44</v>
      </c>
      <c r="E40" s="577"/>
      <c r="F40" s="238"/>
      <c r="G40" s="238"/>
      <c r="H40" s="238"/>
      <c r="I40" s="238"/>
      <c r="J40" s="238"/>
      <c r="K40" s="6"/>
    </row>
    <row r="41" spans="1:11" ht="15.75" thickBot="1">
      <c r="A41" s="235"/>
      <c r="B41" s="1371"/>
      <c r="C41" s="403"/>
      <c r="D41" s="401" t="s">
        <v>45</v>
      </c>
      <c r="E41" s="577"/>
      <c r="F41" s="238"/>
      <c r="G41" s="238"/>
      <c r="H41" s="238"/>
      <c r="I41" s="238"/>
      <c r="J41" s="238"/>
      <c r="K41" s="6"/>
    </row>
    <row r="42" spans="1:11" ht="15.75" thickBot="1">
      <c r="A42" s="235"/>
      <c r="B42" s="239"/>
      <c r="C42" s="240"/>
      <c r="D42" s="238"/>
      <c r="E42" s="238"/>
      <c r="F42" s="238"/>
      <c r="G42" s="238"/>
      <c r="H42" s="238"/>
      <c r="I42" s="238"/>
      <c r="J42" s="238"/>
      <c r="K42" s="6"/>
    </row>
    <row r="43" spans="1:11" ht="15" customHeight="1" thickBot="1">
      <c r="A43" s="235"/>
      <c r="B43" s="397" t="s">
        <v>49</v>
      </c>
      <c r="C43" s="398"/>
      <c r="D43" s="398"/>
      <c r="E43" s="399"/>
      <c r="F43" s="235"/>
      <c r="G43" s="238"/>
      <c r="H43" s="238"/>
      <c r="I43" s="238"/>
      <c r="J43" s="238"/>
      <c r="K43" s="6"/>
    </row>
    <row r="44" spans="1:11" ht="24.75" thickBot="1">
      <c r="A44" s="235"/>
      <c r="B44" s="400" t="s">
        <v>50</v>
      </c>
      <c r="C44" s="401" t="s">
        <v>51</v>
      </c>
      <c r="D44" s="401" t="s">
        <v>52</v>
      </c>
      <c r="E44" s="401" t="s">
        <v>53</v>
      </c>
      <c r="F44" s="238"/>
      <c r="G44" s="238"/>
      <c r="H44" s="238"/>
      <c r="I44" s="238"/>
      <c r="J44" s="238"/>
    </row>
    <row r="45" spans="1:11" ht="60.75" thickBot="1">
      <c r="A45" s="235"/>
      <c r="B45" s="284">
        <v>42401</v>
      </c>
      <c r="C45" s="401">
        <v>0.01</v>
      </c>
      <c r="D45" s="402" t="s">
        <v>963</v>
      </c>
      <c r="E45" s="401"/>
      <c r="F45" s="238"/>
      <c r="G45" s="238"/>
      <c r="H45" s="238"/>
      <c r="I45" s="238"/>
      <c r="J45" s="238"/>
    </row>
    <row r="46" spans="1:11" ht="15.75" thickBot="1">
      <c r="A46" s="235"/>
      <c r="B46" s="239"/>
      <c r="C46" s="240"/>
      <c r="D46" s="238"/>
      <c r="E46" s="238"/>
      <c r="F46" s="238"/>
      <c r="G46" s="238"/>
      <c r="H46" s="238"/>
      <c r="I46" s="238"/>
      <c r="J46" s="238"/>
      <c r="K46" s="6"/>
    </row>
    <row r="47" spans="1:11">
      <c r="A47" s="235"/>
      <c r="B47" s="286" t="s">
        <v>55</v>
      </c>
      <c r="C47" s="287"/>
      <c r="D47" s="238"/>
      <c r="E47" s="238"/>
      <c r="F47" s="238"/>
      <c r="G47" s="238"/>
      <c r="H47" s="238"/>
      <c r="I47" s="238"/>
      <c r="J47" s="238"/>
      <c r="K47" s="6"/>
    </row>
    <row r="48" spans="1:11">
      <c r="A48" s="235"/>
      <c r="B48" s="1630"/>
      <c r="C48" s="1631"/>
      <c r="D48" s="1631"/>
      <c r="E48" s="1632"/>
      <c r="F48" s="238"/>
      <c r="G48" s="238"/>
      <c r="H48" s="238"/>
      <c r="I48" s="238"/>
      <c r="J48" s="238"/>
      <c r="K48" s="6"/>
    </row>
    <row r="49" spans="1:11">
      <c r="A49" s="235"/>
      <c r="B49" s="1633"/>
      <c r="C49" s="1634"/>
      <c r="D49" s="1634"/>
      <c r="E49" s="1635"/>
      <c r="F49" s="238"/>
      <c r="G49" s="238"/>
      <c r="H49" s="238"/>
      <c r="I49" s="238"/>
      <c r="J49" s="238"/>
      <c r="K49" s="6"/>
    </row>
    <row r="50" spans="1:11" ht="15.75" thickBot="1">
      <c r="A50" s="235"/>
      <c r="B50" s="238"/>
      <c r="C50" s="254"/>
      <c r="D50" s="238"/>
      <c r="E50" s="238"/>
      <c r="F50" s="238"/>
      <c r="G50" s="238"/>
      <c r="H50" s="238"/>
      <c r="I50" s="238"/>
      <c r="J50" s="238"/>
      <c r="K50" s="6"/>
    </row>
    <row r="51" spans="1:11" ht="24.75" thickBot="1">
      <c r="B51" s="51" t="s">
        <v>56</v>
      </c>
      <c r="C51" s="96"/>
      <c r="D51" s="6"/>
      <c r="E51" s="6"/>
      <c r="F51" s="6"/>
      <c r="G51" s="6"/>
      <c r="H51" s="6"/>
      <c r="I51" s="6"/>
      <c r="J51" s="6"/>
      <c r="K51" s="6"/>
    </row>
    <row r="52" spans="1:11" ht="15.75" thickBot="1">
      <c r="B52" s="2"/>
      <c r="C52" s="75"/>
      <c r="D52" s="6"/>
      <c r="E52" s="6"/>
      <c r="F52" s="6"/>
      <c r="G52" s="6"/>
      <c r="H52" s="6"/>
      <c r="I52" s="6"/>
      <c r="J52" s="6"/>
      <c r="K52" s="6"/>
    </row>
    <row r="53" spans="1:11" ht="84.75" thickBot="1">
      <c r="B53" s="52" t="s">
        <v>57</v>
      </c>
      <c r="C53" s="97"/>
      <c r="D53" s="43" t="s">
        <v>944</v>
      </c>
      <c r="E53" s="6"/>
      <c r="F53" s="6"/>
      <c r="G53" s="6"/>
      <c r="H53" s="6"/>
      <c r="I53" s="6"/>
      <c r="J53" s="6"/>
      <c r="K53" s="6"/>
    </row>
    <row r="54" spans="1:11">
      <c r="B54" s="1447" t="s">
        <v>59</v>
      </c>
      <c r="C54" s="93"/>
      <c r="D54" s="53" t="s">
        <v>60</v>
      </c>
      <c r="E54" s="6"/>
      <c r="F54" s="6"/>
      <c r="G54" s="6"/>
      <c r="H54" s="6"/>
      <c r="I54" s="6"/>
      <c r="J54" s="6"/>
      <c r="K54" s="6"/>
    </row>
    <row r="55" spans="1:11" ht="72">
      <c r="B55" s="1448"/>
      <c r="C55" s="93"/>
      <c r="D55" s="53" t="s">
        <v>945</v>
      </c>
      <c r="E55" s="6"/>
      <c r="F55" s="6"/>
      <c r="G55" s="6"/>
      <c r="H55" s="6"/>
      <c r="I55" s="6"/>
      <c r="J55" s="6"/>
      <c r="K55" s="6"/>
    </row>
    <row r="56" spans="1:11">
      <c r="B56" s="1448"/>
      <c r="C56" s="93"/>
      <c r="D56" s="53" t="s">
        <v>134</v>
      </c>
      <c r="E56" s="6"/>
      <c r="F56" s="6"/>
      <c r="G56" s="6"/>
      <c r="H56" s="6"/>
      <c r="I56" s="6"/>
      <c r="J56" s="6"/>
      <c r="K56" s="6"/>
    </row>
    <row r="57" spans="1:11" ht="24">
      <c r="B57" s="1448"/>
      <c r="C57" s="93"/>
      <c r="D57" s="46" t="s">
        <v>946</v>
      </c>
      <c r="E57" s="6"/>
      <c r="F57" s="6"/>
      <c r="G57" s="6"/>
      <c r="H57" s="6"/>
      <c r="I57" s="6"/>
      <c r="J57" s="6"/>
      <c r="K57" s="6"/>
    </row>
    <row r="58" spans="1:11" ht="24">
      <c r="B58" s="1448"/>
      <c r="C58" s="93"/>
      <c r="D58" s="46" t="s">
        <v>947</v>
      </c>
      <c r="E58" s="6"/>
      <c r="F58" s="6"/>
      <c r="G58" s="6"/>
      <c r="H58" s="6"/>
      <c r="I58" s="6"/>
      <c r="J58" s="6"/>
      <c r="K58" s="6"/>
    </row>
    <row r="59" spans="1:11" ht="15.75" thickBot="1">
      <c r="B59" s="1449"/>
      <c r="C59" s="3"/>
      <c r="D59" s="40" t="s">
        <v>65</v>
      </c>
      <c r="E59" s="6"/>
      <c r="F59" s="6"/>
      <c r="G59" s="6"/>
      <c r="H59" s="6"/>
      <c r="I59" s="6"/>
      <c r="J59" s="6"/>
      <c r="K59" s="6"/>
    </row>
    <row r="60" spans="1:11" ht="24.75" thickBot="1">
      <c r="B60" s="47" t="s">
        <v>72</v>
      </c>
      <c r="C60" s="3"/>
      <c r="D60" s="40"/>
      <c r="E60" s="6"/>
      <c r="F60" s="6"/>
      <c r="G60" s="6"/>
      <c r="H60" s="6"/>
      <c r="I60" s="6"/>
      <c r="J60" s="6"/>
      <c r="K60" s="6"/>
    </row>
    <row r="61" spans="1:11" ht="132">
      <c r="B61" s="1447" t="s">
        <v>73</v>
      </c>
      <c r="C61" s="93"/>
      <c r="D61" s="46" t="s">
        <v>948</v>
      </c>
      <c r="E61" s="6"/>
      <c r="F61" s="6"/>
      <c r="G61" s="6"/>
      <c r="H61" s="6"/>
      <c r="I61" s="6"/>
      <c r="J61" s="6"/>
      <c r="K61" s="6"/>
    </row>
    <row r="62" spans="1:11" ht="324">
      <c r="B62" s="1448"/>
      <c r="C62" s="93"/>
      <c r="D62" s="46" t="s">
        <v>949</v>
      </c>
      <c r="E62" s="6"/>
      <c r="F62" s="6"/>
      <c r="G62" s="6"/>
      <c r="H62" s="6"/>
      <c r="I62" s="6"/>
      <c r="J62" s="6"/>
      <c r="K62" s="6"/>
    </row>
    <row r="63" spans="1:11" ht="84">
      <c r="B63" s="1448"/>
      <c r="C63" s="93"/>
      <c r="D63" s="46" t="s">
        <v>950</v>
      </c>
      <c r="E63" s="6"/>
      <c r="F63" s="6"/>
      <c r="G63" s="6"/>
      <c r="H63" s="6"/>
      <c r="I63" s="6"/>
      <c r="J63" s="6"/>
      <c r="K63" s="6"/>
    </row>
    <row r="64" spans="1:11" ht="72">
      <c r="B64" s="1448"/>
      <c r="C64" s="93"/>
      <c r="D64" s="46" t="s">
        <v>951</v>
      </c>
      <c r="E64" s="6"/>
      <c r="F64" s="6"/>
      <c r="G64" s="6"/>
      <c r="H64" s="6"/>
      <c r="I64" s="6"/>
      <c r="J64" s="6"/>
      <c r="K64" s="6"/>
    </row>
    <row r="65" spans="2:11" ht="60.75" thickBot="1">
      <c r="B65" s="1449"/>
      <c r="C65" s="3"/>
      <c r="D65" s="40" t="s">
        <v>952</v>
      </c>
      <c r="E65" s="6"/>
      <c r="F65" s="6"/>
      <c r="G65" s="6"/>
      <c r="H65" s="6"/>
      <c r="I65" s="6"/>
      <c r="J65" s="6"/>
      <c r="K65" s="6"/>
    </row>
    <row r="66" spans="2:11">
      <c r="B66" s="1447" t="s">
        <v>90</v>
      </c>
      <c r="C66" s="93"/>
      <c r="D66" s="46"/>
      <c r="E66" s="6"/>
      <c r="F66" s="6"/>
      <c r="G66" s="6"/>
      <c r="H66" s="6"/>
      <c r="I66" s="6"/>
      <c r="J66" s="6"/>
      <c r="K66" s="6"/>
    </row>
    <row r="67" spans="2:11">
      <c r="B67" s="1448"/>
      <c r="C67" s="93"/>
      <c r="D67" s="17"/>
      <c r="E67" s="6"/>
      <c r="F67" s="6"/>
      <c r="G67" s="6"/>
      <c r="H67" s="6"/>
      <c r="I67" s="6"/>
      <c r="J67" s="6"/>
      <c r="K67" s="6"/>
    </row>
    <row r="68" spans="2:11">
      <c r="B68" s="1448"/>
      <c r="C68" s="93"/>
      <c r="D68" s="46" t="s">
        <v>91</v>
      </c>
      <c r="E68" s="6"/>
      <c r="F68" s="6"/>
      <c r="G68" s="6"/>
      <c r="H68" s="6"/>
      <c r="I68" s="6"/>
      <c r="J68" s="6"/>
      <c r="K68" s="6"/>
    </row>
    <row r="69" spans="2:11" ht="25.5">
      <c r="B69" s="1448"/>
      <c r="C69" s="93"/>
      <c r="D69" s="46" t="s">
        <v>953</v>
      </c>
      <c r="E69" s="6"/>
      <c r="F69" s="6"/>
      <c r="G69" s="6"/>
      <c r="H69" s="6"/>
      <c r="I69" s="6"/>
      <c r="J69" s="6"/>
      <c r="K69" s="6"/>
    </row>
    <row r="70" spans="2:11" ht="37.5">
      <c r="B70" s="1448"/>
      <c r="C70" s="93"/>
      <c r="D70" s="46" t="s">
        <v>954</v>
      </c>
      <c r="E70" s="6"/>
      <c r="F70" s="6"/>
      <c r="G70" s="6"/>
      <c r="H70" s="6"/>
      <c r="I70" s="6"/>
      <c r="J70" s="6"/>
      <c r="K70" s="6"/>
    </row>
    <row r="71" spans="2:11" ht="37.5">
      <c r="B71" s="1448"/>
      <c r="C71" s="93"/>
      <c r="D71" s="46" t="s">
        <v>955</v>
      </c>
      <c r="E71" s="6"/>
      <c r="F71" s="6"/>
      <c r="G71" s="6"/>
      <c r="H71" s="6"/>
      <c r="I71" s="6"/>
      <c r="J71" s="6"/>
      <c r="K71" s="6"/>
    </row>
    <row r="72" spans="2:11" ht="36">
      <c r="B72" s="1448"/>
      <c r="C72" s="93"/>
      <c r="D72" s="46" t="s">
        <v>956</v>
      </c>
      <c r="E72" s="6"/>
      <c r="F72" s="6"/>
      <c r="G72" s="6"/>
      <c r="H72" s="6"/>
      <c r="I72" s="6"/>
      <c r="J72" s="6"/>
      <c r="K72" s="6"/>
    </row>
    <row r="73" spans="2:11" ht="120.75" thickBot="1">
      <c r="B73" s="1449"/>
      <c r="C73" s="3"/>
      <c r="D73" s="40" t="s">
        <v>957</v>
      </c>
      <c r="E73" s="6"/>
      <c r="F73" s="6"/>
      <c r="G73" s="6"/>
      <c r="H73" s="6"/>
      <c r="I73" s="6"/>
      <c r="J73" s="6"/>
      <c r="K73" s="6"/>
    </row>
    <row r="74" spans="2:11">
      <c r="B74" s="6"/>
      <c r="D74" s="6"/>
      <c r="E74" s="6"/>
      <c r="F74" s="6"/>
      <c r="G74" s="6"/>
      <c r="H74" s="6"/>
      <c r="I74" s="6"/>
      <c r="J74" s="6"/>
      <c r="K74" s="6"/>
    </row>
    <row r="75" spans="2:11">
      <c r="B75" s="6"/>
      <c r="D75" s="6"/>
      <c r="E75" s="6"/>
      <c r="F75" s="6"/>
      <c r="G75" s="6"/>
      <c r="H75" s="6"/>
      <c r="I75" s="6"/>
      <c r="J75" s="6"/>
      <c r="K75" s="6"/>
    </row>
    <row r="76" spans="2:11">
      <c r="B76" s="6"/>
      <c r="D76" s="6"/>
      <c r="E76" s="6"/>
      <c r="F76" s="6"/>
      <c r="G76" s="6"/>
      <c r="H76" s="6"/>
      <c r="I76" s="6"/>
      <c r="J76" s="6"/>
      <c r="K76" s="6"/>
    </row>
    <row r="77" spans="2:11">
      <c r="B77" s="6"/>
      <c r="D77" s="6"/>
      <c r="E77" s="6"/>
      <c r="F77" s="6"/>
      <c r="G77" s="6"/>
      <c r="H77" s="6"/>
      <c r="I77" s="6"/>
      <c r="J77" s="6"/>
      <c r="K77" s="6"/>
    </row>
    <row r="78" spans="2:11">
      <c r="B78" s="6"/>
      <c r="D78" s="6"/>
      <c r="E78" s="6"/>
      <c r="F78" s="6"/>
      <c r="G78" s="6"/>
      <c r="H78" s="6"/>
      <c r="I78" s="6"/>
      <c r="J78" s="6"/>
      <c r="K78" s="6"/>
    </row>
    <row r="79" spans="2:11">
      <c r="B79" s="6"/>
      <c r="D79" s="6"/>
      <c r="E79" s="6"/>
      <c r="F79" s="6"/>
      <c r="G79" s="6"/>
      <c r="H79" s="6"/>
      <c r="I79" s="6"/>
      <c r="J79" s="6"/>
      <c r="K79" s="6"/>
    </row>
    <row r="80" spans="2:11">
      <c r="B80" s="6"/>
      <c r="D80" s="6"/>
      <c r="E80" s="6"/>
      <c r="F80" s="6"/>
      <c r="G80" s="6"/>
      <c r="H80" s="6"/>
      <c r="I80" s="6"/>
      <c r="J80" s="6"/>
      <c r="K80" s="6"/>
    </row>
    <row r="81" spans="2:11">
      <c r="B81" s="6"/>
      <c r="D81" s="6"/>
      <c r="E81" s="6"/>
      <c r="F81" s="6"/>
      <c r="G81" s="6"/>
      <c r="H81" s="6"/>
      <c r="I81" s="6"/>
      <c r="J81" s="6"/>
      <c r="K81" s="6"/>
    </row>
    <row r="82" spans="2:11">
      <c r="B82" s="6"/>
      <c r="D82" s="6"/>
      <c r="E82" s="6"/>
      <c r="F82" s="6"/>
      <c r="G82" s="6"/>
      <c r="H82" s="6"/>
      <c r="I82" s="6"/>
      <c r="J82" s="6"/>
      <c r="K82" s="6"/>
    </row>
    <row r="83" spans="2:11">
      <c r="B83" s="6"/>
      <c r="D83" s="6"/>
      <c r="E83" s="6"/>
      <c r="F83" s="6"/>
      <c r="G83" s="6"/>
      <c r="H83" s="6"/>
      <c r="I83" s="6"/>
      <c r="J83" s="6"/>
      <c r="K83" s="6"/>
    </row>
    <row r="84" spans="2:11">
      <c r="B84" s="6"/>
      <c r="D84" s="6"/>
      <c r="E84" s="6"/>
      <c r="F84" s="6"/>
      <c r="G84" s="6"/>
      <c r="H84" s="6"/>
      <c r="I84" s="6"/>
      <c r="J84" s="6"/>
      <c r="K84" s="6"/>
    </row>
    <row r="85" spans="2:11">
      <c r="B85" s="6"/>
      <c r="D85" s="6"/>
      <c r="E85" s="6"/>
      <c r="F85" s="6"/>
      <c r="G85" s="6"/>
      <c r="H85" s="6"/>
      <c r="I85" s="6"/>
      <c r="J85" s="6"/>
      <c r="K85" s="6"/>
    </row>
    <row r="86" spans="2:11">
      <c r="B86" s="6"/>
      <c r="D86" s="6"/>
      <c r="E86" s="6"/>
      <c r="F86" s="6"/>
      <c r="G86" s="6"/>
      <c r="H86" s="6"/>
      <c r="I86" s="6"/>
      <c r="J86" s="6"/>
      <c r="K86" s="6"/>
    </row>
    <row r="87" spans="2:11">
      <c r="B87" s="6"/>
      <c r="D87" s="6"/>
      <c r="E87" s="6"/>
      <c r="F87" s="6"/>
      <c r="G87" s="6"/>
      <c r="H87" s="6"/>
      <c r="I87" s="6"/>
      <c r="J87" s="6"/>
      <c r="K87" s="6"/>
    </row>
    <row r="88" spans="2:11">
      <c r="B88" s="6"/>
      <c r="D88" s="6"/>
      <c r="E88" s="6"/>
      <c r="F88" s="6"/>
      <c r="G88" s="6"/>
      <c r="H88" s="6"/>
      <c r="I88" s="6"/>
      <c r="J88" s="6"/>
      <c r="K88" s="6"/>
    </row>
    <row r="89" spans="2:11">
      <c r="B89" s="6"/>
      <c r="D89" s="6"/>
      <c r="E89" s="6"/>
      <c r="F89" s="6"/>
      <c r="G89" s="6"/>
      <c r="H89" s="6"/>
      <c r="I89" s="6"/>
      <c r="J89" s="6"/>
      <c r="K89" s="6"/>
    </row>
    <row r="90" spans="2:11">
      <c r="B90" s="6"/>
      <c r="D90" s="6"/>
      <c r="E90" s="6"/>
      <c r="F90" s="6"/>
      <c r="G90" s="6"/>
      <c r="H90" s="6"/>
      <c r="I90" s="6"/>
      <c r="J90" s="6"/>
      <c r="K90" s="6"/>
    </row>
    <row r="91" spans="2:11">
      <c r="B91" s="6"/>
      <c r="D91" s="6"/>
      <c r="E91" s="6"/>
      <c r="F91" s="6"/>
      <c r="G91" s="6"/>
      <c r="H91" s="6"/>
      <c r="I91" s="6"/>
      <c r="J91" s="6"/>
      <c r="K91" s="6"/>
    </row>
    <row r="92" spans="2:11">
      <c r="B92" s="6"/>
      <c r="D92" s="6"/>
      <c r="E92" s="6"/>
      <c r="F92" s="6"/>
      <c r="G92" s="6"/>
      <c r="H92" s="6"/>
      <c r="I92" s="6"/>
      <c r="J92" s="6"/>
      <c r="K92" s="6"/>
    </row>
    <row r="93" spans="2:11">
      <c r="B93" s="6"/>
      <c r="D93" s="6"/>
      <c r="E93" s="6"/>
      <c r="F93" s="6"/>
      <c r="G93" s="6"/>
      <c r="H93" s="6"/>
      <c r="I93" s="6"/>
      <c r="J93" s="6"/>
      <c r="K93" s="6"/>
    </row>
    <row r="94" spans="2:11">
      <c r="B94" s="6"/>
      <c r="D94" s="6"/>
      <c r="E94" s="6"/>
      <c r="F94" s="6"/>
      <c r="G94" s="6"/>
      <c r="H94" s="6"/>
      <c r="I94" s="6"/>
      <c r="J94" s="6"/>
      <c r="K94" s="6"/>
    </row>
    <row r="95" spans="2:11">
      <c r="B95" s="6"/>
      <c r="D95" s="6"/>
      <c r="E95" s="6"/>
      <c r="F95" s="6"/>
      <c r="G95" s="6"/>
      <c r="H95" s="6"/>
      <c r="I95" s="6"/>
      <c r="J95" s="6"/>
      <c r="K95" s="6"/>
    </row>
    <row r="96" spans="2:11">
      <c r="B96" s="6"/>
      <c r="D96" s="6"/>
      <c r="E96" s="6"/>
      <c r="F96" s="6"/>
      <c r="G96" s="6"/>
      <c r="H96" s="6"/>
      <c r="I96" s="6"/>
      <c r="J96" s="6"/>
      <c r="K96" s="6"/>
    </row>
    <row r="97" spans="2:11">
      <c r="B97" s="6"/>
      <c r="D97" s="6"/>
      <c r="E97" s="6"/>
      <c r="F97" s="6"/>
      <c r="G97" s="6"/>
      <c r="H97" s="6"/>
      <c r="I97" s="6"/>
      <c r="J97" s="6"/>
      <c r="K97" s="6"/>
    </row>
    <row r="98" spans="2:11">
      <c r="B98" s="6"/>
      <c r="D98" s="6"/>
      <c r="E98" s="6"/>
      <c r="F98" s="6"/>
      <c r="G98" s="6"/>
      <c r="H98" s="6"/>
      <c r="I98" s="6"/>
      <c r="J98" s="6"/>
      <c r="K98" s="6"/>
    </row>
    <row r="99" spans="2:11">
      <c r="B99" s="6"/>
      <c r="D99" s="6"/>
      <c r="E99" s="6"/>
      <c r="F99" s="6"/>
      <c r="G99" s="6"/>
      <c r="H99" s="6"/>
      <c r="I99" s="6"/>
      <c r="J99" s="6"/>
      <c r="K99" s="6"/>
    </row>
    <row r="100" spans="2:11">
      <c r="B100" s="6"/>
      <c r="D100" s="6"/>
      <c r="E100" s="6"/>
      <c r="F100" s="6"/>
      <c r="G100" s="6"/>
      <c r="H100" s="6"/>
      <c r="I100" s="6"/>
      <c r="J100" s="6"/>
      <c r="K100" s="6"/>
    </row>
    <row r="101" spans="2:11">
      <c r="B101" s="6"/>
      <c r="D101" s="6"/>
      <c r="E101" s="6"/>
      <c r="F101" s="6"/>
      <c r="G101" s="6"/>
      <c r="H101" s="6"/>
      <c r="I101" s="6"/>
      <c r="J101" s="6"/>
      <c r="K101" s="6"/>
    </row>
    <row r="102" spans="2:11">
      <c r="B102" s="6"/>
      <c r="D102" s="6"/>
      <c r="E102" s="6"/>
      <c r="F102" s="6"/>
      <c r="G102" s="6"/>
      <c r="H102" s="6"/>
      <c r="I102" s="6"/>
      <c r="J102" s="6"/>
      <c r="K102" s="6"/>
    </row>
    <row r="103" spans="2:11">
      <c r="B103" s="6"/>
      <c r="D103" s="6"/>
      <c r="E103" s="6"/>
      <c r="F103" s="6"/>
      <c r="G103" s="6"/>
      <c r="H103" s="6"/>
      <c r="I103" s="6"/>
      <c r="J103" s="6"/>
      <c r="K103" s="6"/>
    </row>
    <row r="104" spans="2:11">
      <c r="B104" s="6"/>
      <c r="D104" s="6"/>
      <c r="E104" s="6"/>
      <c r="F104" s="6"/>
      <c r="G104" s="6"/>
      <c r="H104" s="6"/>
      <c r="I104" s="6"/>
      <c r="J104" s="6"/>
      <c r="K104" s="6"/>
    </row>
    <row r="105" spans="2:11">
      <c r="B105" s="6"/>
      <c r="D105" s="6"/>
      <c r="E105" s="6"/>
      <c r="F105" s="6"/>
      <c r="G105" s="6"/>
      <c r="H105" s="6"/>
      <c r="I105" s="6"/>
      <c r="J105" s="6"/>
      <c r="K105" s="6"/>
    </row>
    <row r="106" spans="2:11">
      <c r="B106" s="6"/>
      <c r="D106" s="6"/>
      <c r="E106" s="6"/>
      <c r="F106" s="6"/>
      <c r="G106" s="6"/>
      <c r="H106" s="6"/>
      <c r="I106" s="6"/>
      <c r="J106" s="6"/>
      <c r="K106" s="6"/>
    </row>
    <row r="107" spans="2:11">
      <c r="B107" s="6"/>
      <c r="D107" s="6"/>
      <c r="E107" s="6"/>
      <c r="F107" s="6"/>
      <c r="G107" s="6"/>
      <c r="H107" s="6"/>
      <c r="I107" s="6"/>
      <c r="J107" s="6"/>
      <c r="K107" s="6"/>
    </row>
    <row r="108" spans="2:11">
      <c r="B108" s="6"/>
      <c r="D108" s="6"/>
      <c r="E108" s="6"/>
      <c r="F108" s="6"/>
      <c r="G108" s="6"/>
      <c r="H108" s="6"/>
      <c r="I108" s="6"/>
      <c r="J108" s="6"/>
      <c r="K108" s="6"/>
    </row>
    <row r="109" spans="2:11">
      <c r="B109" s="6"/>
      <c r="D109" s="6"/>
      <c r="E109" s="6"/>
      <c r="F109" s="6"/>
      <c r="G109" s="6"/>
      <c r="H109" s="6"/>
      <c r="I109" s="6"/>
      <c r="J109" s="6"/>
      <c r="K109" s="6"/>
    </row>
    <row r="110" spans="2:11">
      <c r="B110" s="6"/>
      <c r="D110" s="6"/>
      <c r="E110" s="6"/>
      <c r="F110" s="6"/>
      <c r="G110" s="6"/>
      <c r="H110" s="6"/>
      <c r="I110" s="6"/>
      <c r="J110" s="6"/>
      <c r="K110" s="6"/>
    </row>
    <row r="111" spans="2:11">
      <c r="B111" s="6"/>
      <c r="D111" s="6"/>
      <c r="E111" s="6"/>
      <c r="F111" s="6"/>
      <c r="G111" s="6"/>
      <c r="H111" s="6"/>
      <c r="I111" s="6"/>
      <c r="J111" s="6"/>
      <c r="K111" s="6"/>
    </row>
    <row r="112" spans="2:11">
      <c r="B112" s="6"/>
      <c r="D112" s="6"/>
      <c r="E112" s="6"/>
      <c r="F112" s="6"/>
      <c r="G112" s="6"/>
      <c r="H112" s="6"/>
      <c r="I112" s="6"/>
      <c r="J112" s="6"/>
      <c r="K112" s="6"/>
    </row>
    <row r="113" spans="2:11">
      <c r="B113" s="6"/>
      <c r="D113" s="6"/>
      <c r="E113" s="6"/>
      <c r="F113" s="6"/>
      <c r="G113" s="6"/>
      <c r="H113" s="6"/>
      <c r="I113" s="6"/>
      <c r="J113" s="6"/>
      <c r="K113" s="6"/>
    </row>
    <row r="114" spans="2:11">
      <c r="B114" s="6"/>
      <c r="D114" s="6"/>
      <c r="E114" s="6"/>
      <c r="F114" s="6"/>
      <c r="G114" s="6"/>
      <c r="H114" s="6"/>
      <c r="I114" s="6"/>
      <c r="J114" s="6"/>
      <c r="K114" s="6"/>
    </row>
    <row r="115" spans="2:11">
      <c r="B115" s="6"/>
      <c r="D115" s="6"/>
      <c r="E115" s="6"/>
      <c r="F115" s="6"/>
      <c r="G115" s="6"/>
      <c r="H115" s="6"/>
      <c r="I115" s="6"/>
      <c r="J115" s="6"/>
      <c r="K115" s="6"/>
    </row>
    <row r="116" spans="2:11">
      <c r="B116" s="6"/>
      <c r="D116" s="6"/>
      <c r="E116" s="6"/>
      <c r="F116" s="6"/>
      <c r="G116" s="6"/>
      <c r="H116" s="6"/>
      <c r="I116" s="6"/>
      <c r="J116" s="6"/>
      <c r="K116" s="6"/>
    </row>
    <row r="117" spans="2:11">
      <c r="B117" s="6"/>
      <c r="D117" s="6"/>
      <c r="E117" s="6"/>
      <c r="F117" s="6"/>
      <c r="G117" s="6"/>
      <c r="H117" s="6"/>
      <c r="I117" s="6"/>
      <c r="J117" s="6"/>
      <c r="K117" s="6"/>
    </row>
    <row r="118" spans="2:11">
      <c r="B118" s="6"/>
      <c r="D118" s="6"/>
      <c r="E118" s="6"/>
      <c r="F118" s="6"/>
      <c r="G118" s="6"/>
      <c r="H118" s="6"/>
      <c r="I118" s="6"/>
      <c r="J118" s="6"/>
      <c r="K118" s="6"/>
    </row>
    <row r="119" spans="2:11">
      <c r="B119" s="6"/>
      <c r="D119" s="6"/>
      <c r="E119" s="6"/>
      <c r="F119" s="6"/>
      <c r="G119" s="6"/>
      <c r="H119" s="6"/>
      <c r="I119" s="6"/>
      <c r="J119" s="6"/>
      <c r="K119" s="6"/>
    </row>
    <row r="120" spans="2:11">
      <c r="B120" s="6"/>
      <c r="D120" s="6"/>
      <c r="E120" s="6"/>
      <c r="F120" s="6"/>
      <c r="G120" s="6"/>
      <c r="H120" s="6"/>
      <c r="I120" s="6"/>
      <c r="J120" s="6"/>
      <c r="K120" s="6"/>
    </row>
    <row r="121" spans="2:11">
      <c r="B121" s="6"/>
      <c r="D121" s="6"/>
      <c r="E121" s="6"/>
      <c r="F121" s="6"/>
      <c r="G121" s="6"/>
      <c r="H121" s="6"/>
      <c r="I121" s="6"/>
      <c r="J121" s="6"/>
      <c r="K121" s="6"/>
    </row>
    <row r="122" spans="2:11">
      <c r="B122" s="6"/>
      <c r="D122" s="6"/>
      <c r="E122" s="6"/>
      <c r="F122" s="6"/>
      <c r="G122" s="6"/>
      <c r="H122" s="6"/>
      <c r="I122" s="6"/>
      <c r="J122" s="6"/>
      <c r="K122" s="6"/>
    </row>
    <row r="123" spans="2:11">
      <c r="B123" s="6"/>
      <c r="D123" s="6"/>
      <c r="E123" s="6"/>
      <c r="F123" s="6"/>
      <c r="G123" s="6"/>
      <c r="H123" s="6"/>
      <c r="I123" s="6"/>
      <c r="J123" s="6"/>
      <c r="K123" s="6"/>
    </row>
    <row r="124" spans="2:11">
      <c r="B124" s="6"/>
      <c r="D124" s="6"/>
      <c r="E124" s="6"/>
      <c r="F124" s="6"/>
      <c r="G124" s="6"/>
      <c r="H124" s="6"/>
      <c r="I124" s="6"/>
      <c r="J124" s="6"/>
      <c r="K124" s="6"/>
    </row>
    <row r="125" spans="2:11">
      <c r="B125" s="6"/>
      <c r="D125" s="6"/>
      <c r="E125" s="6"/>
      <c r="F125" s="6"/>
      <c r="G125" s="6"/>
      <c r="H125" s="6"/>
      <c r="I125" s="6"/>
      <c r="J125" s="6"/>
      <c r="K125" s="6"/>
    </row>
    <row r="126" spans="2:11">
      <c r="B126" s="6"/>
      <c r="D126" s="6"/>
      <c r="E126" s="6"/>
      <c r="F126" s="6"/>
      <c r="G126" s="6"/>
      <c r="H126" s="6"/>
      <c r="I126" s="6"/>
      <c r="J126" s="6"/>
      <c r="K126" s="6"/>
    </row>
    <row r="127" spans="2:11">
      <c r="B127" s="6"/>
      <c r="D127" s="6"/>
      <c r="E127" s="6"/>
      <c r="F127" s="6"/>
      <c r="G127" s="6"/>
      <c r="H127" s="6"/>
      <c r="I127" s="6"/>
      <c r="J127" s="6"/>
      <c r="K127" s="6"/>
    </row>
    <row r="128" spans="2:11">
      <c r="B128" s="6"/>
      <c r="D128" s="6"/>
      <c r="E128" s="6"/>
      <c r="F128" s="6"/>
      <c r="G128" s="6"/>
      <c r="H128" s="6"/>
      <c r="I128" s="6"/>
      <c r="J128" s="6"/>
      <c r="K128" s="6"/>
    </row>
    <row r="129" spans="2:11">
      <c r="B129" s="6"/>
      <c r="D129" s="6"/>
      <c r="E129" s="6"/>
      <c r="F129" s="6"/>
      <c r="G129" s="6"/>
      <c r="H129" s="6"/>
      <c r="I129" s="6"/>
      <c r="J129" s="6"/>
      <c r="K129" s="6"/>
    </row>
    <row r="130" spans="2:11">
      <c r="B130" s="6"/>
      <c r="D130" s="6"/>
      <c r="E130" s="6"/>
      <c r="F130" s="6"/>
      <c r="G130" s="6"/>
      <c r="H130" s="6"/>
      <c r="I130" s="6"/>
      <c r="J130" s="6"/>
      <c r="K130" s="6"/>
    </row>
    <row r="131" spans="2:11">
      <c r="B131" s="6"/>
      <c r="D131" s="6"/>
      <c r="E131" s="6"/>
      <c r="F131" s="6"/>
      <c r="G131" s="6"/>
      <c r="H131" s="6"/>
      <c r="I131" s="6"/>
      <c r="J131" s="6"/>
      <c r="K131" s="6"/>
    </row>
    <row r="132" spans="2:11">
      <c r="B132" s="6"/>
      <c r="D132" s="6"/>
      <c r="E132" s="6"/>
      <c r="F132" s="6"/>
      <c r="G132" s="6"/>
      <c r="H132" s="6"/>
      <c r="I132" s="6"/>
      <c r="J132" s="6"/>
      <c r="K132" s="6"/>
    </row>
    <row r="133" spans="2:11">
      <c r="B133" s="6"/>
      <c r="D133" s="6"/>
      <c r="E133" s="6"/>
      <c r="F133" s="6"/>
      <c r="G133" s="6"/>
      <c r="H133" s="6"/>
      <c r="I133" s="6"/>
      <c r="J133" s="6"/>
      <c r="K133" s="6"/>
    </row>
    <row r="134" spans="2:11">
      <c r="B134" s="6"/>
      <c r="D134" s="6"/>
      <c r="E134" s="6"/>
      <c r="F134" s="6"/>
      <c r="G134" s="6"/>
      <c r="H134" s="6"/>
      <c r="I134" s="6"/>
      <c r="J134" s="6"/>
      <c r="K134" s="6"/>
    </row>
    <row r="135" spans="2:11">
      <c r="B135" s="6"/>
      <c r="D135" s="6"/>
      <c r="E135" s="6"/>
      <c r="F135" s="6"/>
      <c r="G135" s="6"/>
      <c r="H135" s="6"/>
      <c r="I135" s="6"/>
      <c r="J135" s="6"/>
      <c r="K135" s="6"/>
    </row>
    <row r="136" spans="2:11">
      <c r="B136" s="6"/>
      <c r="D136" s="6"/>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sheetData>
  <mergeCells count="23">
    <mergeCell ref="B54:B59"/>
    <mergeCell ref="B61:B65"/>
    <mergeCell ref="B66:B73"/>
    <mergeCell ref="B15:B21"/>
    <mergeCell ref="D15:I15"/>
    <mergeCell ref="D16:I16"/>
    <mergeCell ref="D22:I22"/>
    <mergeCell ref="D23:I23"/>
    <mergeCell ref="B25:E25"/>
    <mergeCell ref="B26:B32"/>
    <mergeCell ref="B34:E34"/>
    <mergeCell ref="B35:B41"/>
    <mergeCell ref="B48:E49"/>
    <mergeCell ref="B10:D10"/>
    <mergeCell ref="F10:S10"/>
    <mergeCell ref="F11:S11"/>
    <mergeCell ref="E12:R12"/>
    <mergeCell ref="E13:R13"/>
    <mergeCell ref="A1:P1"/>
    <mergeCell ref="A2:P2"/>
    <mergeCell ref="A3:P3"/>
    <mergeCell ref="A4:D4"/>
    <mergeCell ref="A5:P5"/>
  </mergeCells>
  <conditionalFormatting sqref="F11:S11">
    <cfRule type="expression" dxfId="38" priority="4">
      <formula>E11="NO SE REPORTA"</formula>
    </cfRule>
    <cfRule type="expression" dxfId="37" priority="5">
      <formula>E10="NO APLICA"</formula>
    </cfRule>
  </conditionalFormatting>
  <conditionalFormatting sqref="E12:R12">
    <cfRule type="expression" dxfId="36" priority="3">
      <formula>E11="SI SE REPORTA"</formula>
    </cfRule>
  </conditionalFormatting>
  <conditionalFormatting sqref="F10:S10">
    <cfRule type="expression" dxfId="35" priority="1">
      <formula>E10="NO SE REPORTA"</formula>
    </cfRule>
    <cfRule type="expression" dxfId="34" priority="2">
      <formula>E9="NO APLICA"</formula>
    </cfRule>
  </conditionalFormatting>
  <dataValidations count="3">
    <dataValidation type="whole" operator="greaterThanOrEqual" allowBlank="1" showErrorMessage="1" errorTitle="ERROR" error="Escriba un número igual o mayor que 0" promptTitle="ERROR" prompt="Escriba un número igual o mayor que 0" sqref="E18:H20">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30" r:id="rId1"/>
  </hyperlinks>
  <pageMargins left="0.25" right="0.25" top="0.75" bottom="0.75" header="0.3" footer="0.3"/>
  <pageSetup paperSize="178" orientation="landscape" horizontalDpi="1200" verticalDpi="1200"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Q240"/>
  <sheetViews>
    <sheetView zoomScale="82" zoomScaleNormal="82" zoomScaleSheetLayoutView="75" workbookViewId="0">
      <pane xSplit="2" ySplit="6" topLeftCell="L117" activePane="bottomRight" state="frozen"/>
      <selection pane="topRight" activeCell="C1" sqref="C1"/>
      <selection pane="bottomLeft" activeCell="A7" sqref="A7"/>
      <selection pane="bottomRight" activeCell="R117" sqref="R117"/>
    </sheetView>
  </sheetViews>
  <sheetFormatPr baseColWidth="10" defaultColWidth="11.42578125" defaultRowHeight="12.75"/>
  <cols>
    <col min="1" max="1" width="45" style="624" customWidth="1"/>
    <col min="2" max="2" width="22.28515625" style="624" customWidth="1"/>
    <col min="3" max="4" width="9.7109375" style="634" customWidth="1"/>
    <col min="5" max="6" width="11.85546875" style="634" customWidth="1"/>
    <col min="7" max="7" width="16.140625" style="634" customWidth="1"/>
    <col min="8" max="8" width="17.140625" style="634" customWidth="1"/>
    <col min="9" max="9" width="15.5703125" style="634" customWidth="1"/>
    <col min="10" max="10" width="69.42578125" style="624" customWidth="1"/>
    <col min="11" max="11" width="26.140625" style="624" customWidth="1"/>
    <col min="12" max="18" width="20.85546875" style="624" customWidth="1"/>
    <col min="19" max="19" width="19.140625" style="624" customWidth="1"/>
    <col min="20" max="20" width="12.140625" style="634" customWidth="1"/>
    <col min="21" max="21" width="15.5703125" style="634" customWidth="1"/>
    <col min="22" max="22" width="18" style="634" customWidth="1"/>
    <col min="23" max="23" width="18" style="624" customWidth="1"/>
    <col min="24" max="24" width="21" style="624" customWidth="1"/>
    <col min="25" max="25" width="27.85546875" style="624" customWidth="1"/>
    <col min="26" max="26" width="27.28515625" style="624" bestFit="1" customWidth="1"/>
    <col min="27" max="27" width="30.140625" style="624" customWidth="1"/>
    <col min="28" max="28" width="16.28515625" style="1046" customWidth="1"/>
    <col min="29" max="29" width="30.5703125" style="624" customWidth="1"/>
    <col min="30" max="30" width="25.7109375" style="925" customWidth="1"/>
    <col min="31" max="31" width="22.5703125" style="624" customWidth="1"/>
    <col min="32" max="32" width="25.42578125" style="624" customWidth="1"/>
    <col min="33" max="33" width="25.5703125" style="624" bestFit="1" customWidth="1"/>
    <col min="34" max="34" width="26.42578125" style="634" bestFit="1" customWidth="1"/>
    <col min="35" max="35" width="29.7109375" style="624" customWidth="1"/>
    <col min="36" max="36" width="29" style="624" customWidth="1"/>
    <col min="37" max="37" width="17.42578125" style="624" customWidth="1"/>
    <col min="38" max="38" width="25" style="624" customWidth="1"/>
    <col min="39" max="39" width="20.7109375" style="624" customWidth="1"/>
    <col min="40" max="40" width="32.42578125" style="624" customWidth="1"/>
    <col min="41" max="41" width="20.42578125" style="624" customWidth="1"/>
    <col min="42" max="43" width="11.42578125" style="624" hidden="1" customWidth="1"/>
    <col min="44" max="16384" width="11.42578125" style="624"/>
  </cols>
  <sheetData>
    <row r="1" spans="1:43" ht="73.5" customHeight="1" thickBot="1">
      <c r="A1" s="1300"/>
      <c r="B1" s="1301"/>
      <c r="C1" s="1301"/>
      <c r="D1" s="1301"/>
      <c r="E1" s="1301"/>
      <c r="F1" s="1301"/>
      <c r="G1" s="1301"/>
      <c r="H1" s="1301"/>
      <c r="I1" s="1301"/>
      <c r="J1" s="1301"/>
      <c r="K1" s="1301"/>
      <c r="L1" s="1301"/>
      <c r="M1" s="1301"/>
      <c r="N1" s="1301"/>
      <c r="O1" s="1301"/>
      <c r="P1" s="1301"/>
      <c r="Q1" s="1301"/>
      <c r="R1" s="1301"/>
      <c r="S1" s="1301"/>
      <c r="T1" s="1301"/>
      <c r="U1" s="1301"/>
      <c r="V1" s="1301"/>
      <c r="W1" s="1301"/>
      <c r="X1" s="1301"/>
      <c r="Y1" s="1301"/>
      <c r="Z1" s="1301"/>
      <c r="AA1" s="1301"/>
      <c r="AB1" s="1301"/>
      <c r="AC1" s="1301"/>
      <c r="AD1" s="1301"/>
      <c r="AE1" s="1301"/>
      <c r="AF1" s="1301"/>
      <c r="AG1" s="1301"/>
      <c r="AH1" s="1301"/>
      <c r="AI1" s="1301"/>
      <c r="AJ1" s="1301"/>
      <c r="AK1" s="1301"/>
      <c r="AL1" s="1301"/>
      <c r="AM1" s="1301"/>
      <c r="AN1" s="1301"/>
      <c r="AO1" s="1302"/>
    </row>
    <row r="2" spans="1:43" s="625" customFormat="1">
      <c r="A2" s="1303" t="str">
        <f>+'Datos Generales'!C5</f>
        <v>Corporación Autónoma Regional del Cesar – CORPOCESAR</v>
      </c>
      <c r="B2" s="1304"/>
      <c r="C2" s="1304"/>
      <c r="D2" s="1304"/>
      <c r="E2" s="1304"/>
      <c r="F2" s="1304"/>
      <c r="G2" s="1304"/>
      <c r="H2" s="1304"/>
      <c r="I2" s="1304"/>
      <c r="J2" s="1304"/>
      <c r="K2" s="1304"/>
      <c r="L2" s="1304"/>
      <c r="M2" s="1304"/>
      <c r="N2" s="1304"/>
      <c r="O2" s="1304"/>
      <c r="P2" s="1304"/>
      <c r="Q2" s="1304"/>
      <c r="R2" s="1304"/>
      <c r="S2" s="1304"/>
      <c r="T2" s="1304"/>
      <c r="U2" s="1304"/>
      <c r="V2" s="1304"/>
      <c r="W2" s="1304"/>
      <c r="X2" s="1304"/>
      <c r="Y2" s="1304"/>
      <c r="Z2" s="1304"/>
      <c r="AA2" s="1304"/>
      <c r="AB2" s="1304"/>
      <c r="AC2" s="1304"/>
      <c r="AD2" s="1304"/>
      <c r="AE2" s="1304"/>
      <c r="AF2" s="1304"/>
      <c r="AG2" s="1304"/>
      <c r="AH2" s="1304"/>
      <c r="AI2" s="1304"/>
      <c r="AJ2" s="1304"/>
      <c r="AK2" s="1304"/>
      <c r="AL2" s="1304"/>
      <c r="AM2" s="1304"/>
      <c r="AN2" s="1304"/>
      <c r="AO2" s="1305"/>
    </row>
    <row r="3" spans="1:43" s="625" customFormat="1" ht="13.5" thickBot="1">
      <c r="A3" s="1306" t="s">
        <v>1292</v>
      </c>
      <c r="B3" s="1307"/>
      <c r="C3" s="1307"/>
      <c r="D3" s="1307"/>
      <c r="E3" s="1307"/>
      <c r="F3" s="1307"/>
      <c r="G3" s="1307"/>
      <c r="H3" s="1307"/>
      <c r="I3" s="1307"/>
      <c r="J3" s="1307"/>
      <c r="K3" s="1307"/>
      <c r="L3" s="1307"/>
      <c r="M3" s="1307"/>
      <c r="N3" s="1307"/>
      <c r="O3" s="1307"/>
      <c r="P3" s="1307"/>
      <c r="Q3" s="1307"/>
      <c r="R3" s="1307"/>
      <c r="S3" s="1307"/>
      <c r="T3" s="1307"/>
      <c r="U3" s="1307"/>
      <c r="V3" s="1307"/>
      <c r="W3" s="1307"/>
      <c r="X3" s="1307"/>
      <c r="Y3" s="1307"/>
      <c r="Z3" s="1307"/>
      <c r="AA3" s="1307"/>
      <c r="AB3" s="1307"/>
      <c r="AC3" s="1307"/>
      <c r="AD3" s="1307"/>
      <c r="AE3" s="1307"/>
      <c r="AF3" s="1307"/>
      <c r="AG3" s="1307"/>
      <c r="AH3" s="1307"/>
      <c r="AI3" s="1307"/>
      <c r="AJ3" s="1307"/>
      <c r="AK3" s="1307"/>
      <c r="AL3" s="1307"/>
      <c r="AM3" s="1307"/>
      <c r="AN3" s="1307"/>
      <c r="AO3" s="1308"/>
    </row>
    <row r="4" spans="1:43" s="625" customFormat="1" ht="13.5" thickBot="1">
      <c r="A4" s="626" t="s">
        <v>1293</v>
      </c>
      <c r="B4" s="627" t="str">
        <f>+'Datos Generales'!C6</f>
        <v>2022-II</v>
      </c>
      <c r="C4" s="628"/>
      <c r="D4" s="628"/>
      <c r="E4" s="628"/>
      <c r="F4" s="628"/>
      <c r="G4" s="628"/>
      <c r="H4" s="628"/>
      <c r="I4" s="628"/>
      <c r="J4" s="627"/>
      <c r="K4" s="627"/>
      <c r="L4" s="627"/>
      <c r="M4" s="627"/>
      <c r="N4" s="627"/>
      <c r="O4" s="627"/>
      <c r="P4" s="627"/>
      <c r="Q4" s="627"/>
      <c r="R4" s="627"/>
      <c r="S4" s="627"/>
      <c r="T4" s="628"/>
      <c r="U4" s="628"/>
      <c r="V4" s="628"/>
      <c r="W4" s="627"/>
      <c r="X4" s="627"/>
      <c r="Y4" s="627"/>
      <c r="Z4" s="627"/>
      <c r="AA4" s="627"/>
      <c r="AB4" s="629"/>
      <c r="AC4" s="627"/>
      <c r="AD4" s="630"/>
      <c r="AE4" s="627"/>
      <c r="AF4" s="627"/>
      <c r="AG4" s="627"/>
      <c r="AH4" s="628"/>
      <c r="AI4" s="627"/>
      <c r="AJ4" s="627"/>
      <c r="AK4" s="627"/>
      <c r="AL4" s="627"/>
      <c r="AM4" s="627"/>
      <c r="AN4" s="627"/>
      <c r="AO4" s="631"/>
    </row>
    <row r="5" spans="1:43" ht="13.5" thickBot="1">
      <c r="A5" s="1309" t="s">
        <v>1484</v>
      </c>
      <c r="B5" s="1312" t="s">
        <v>1242</v>
      </c>
      <c r="C5" s="1313"/>
      <c r="D5" s="1313"/>
      <c r="E5" s="1313"/>
      <c r="F5" s="1313"/>
      <c r="G5" s="1313"/>
      <c r="H5" s="1313"/>
      <c r="I5" s="1313"/>
      <c r="J5" s="1313"/>
      <c r="K5" s="1313"/>
      <c r="L5" s="1313"/>
      <c r="M5" s="1313"/>
      <c r="N5" s="1313"/>
      <c r="O5" s="1313"/>
      <c r="P5" s="1313"/>
      <c r="Q5" s="1313"/>
      <c r="R5" s="1313"/>
      <c r="S5" s="1313"/>
      <c r="T5" s="1313"/>
      <c r="U5" s="1314"/>
      <c r="V5" s="1314"/>
      <c r="W5" s="1314"/>
      <c r="X5" s="1314"/>
      <c r="Y5" s="1315"/>
      <c r="Z5" s="1315"/>
      <c r="AA5" s="1315"/>
      <c r="AB5" s="1315"/>
      <c r="AC5" s="1315"/>
      <c r="AD5" s="1315"/>
      <c r="AE5" s="1315"/>
      <c r="AF5" s="1315"/>
      <c r="AG5" s="1315"/>
      <c r="AH5" s="1315"/>
      <c r="AI5" s="1315"/>
      <c r="AJ5" s="1315"/>
      <c r="AK5" s="1315"/>
      <c r="AL5" s="1309" t="s">
        <v>1485</v>
      </c>
      <c r="AM5" s="1318" t="s">
        <v>1486</v>
      </c>
      <c r="AN5" s="1321" t="s">
        <v>1487</v>
      </c>
      <c r="AO5" s="1324" t="s">
        <v>1488</v>
      </c>
      <c r="AP5" s="1281" t="s">
        <v>1489</v>
      </c>
      <c r="AQ5" s="1281" t="s">
        <v>1490</v>
      </c>
    </row>
    <row r="6" spans="1:43" s="634" customFormat="1" ht="99.75" customHeight="1" thickBot="1">
      <c r="A6" s="1310"/>
      <c r="B6" s="632" t="s">
        <v>1491</v>
      </c>
      <c r="C6" s="1284" t="s">
        <v>1492</v>
      </c>
      <c r="D6" s="1285"/>
      <c r="E6" s="1286" t="s">
        <v>1493</v>
      </c>
      <c r="F6" s="1285"/>
      <c r="G6" s="633" t="s">
        <v>1494</v>
      </c>
      <c r="H6" s="1286" t="s">
        <v>1243</v>
      </c>
      <c r="I6" s="1285"/>
      <c r="J6" s="1287" t="s">
        <v>1244</v>
      </c>
      <c r="K6" s="1289" t="s">
        <v>1495</v>
      </c>
      <c r="L6" s="1289" t="s">
        <v>1496</v>
      </c>
      <c r="M6" s="1289" t="s">
        <v>1497</v>
      </c>
      <c r="N6" s="1289" t="s">
        <v>1498</v>
      </c>
      <c r="O6" s="1289" t="s">
        <v>1499</v>
      </c>
      <c r="P6" s="1289" t="s">
        <v>1500</v>
      </c>
      <c r="Q6" s="1289" t="s">
        <v>1501</v>
      </c>
      <c r="R6" s="1289" t="s">
        <v>1502</v>
      </c>
      <c r="S6" s="1287" t="s">
        <v>1503</v>
      </c>
      <c r="T6" s="1295" t="s">
        <v>1504</v>
      </c>
      <c r="U6" s="1293" t="s">
        <v>1505</v>
      </c>
      <c r="V6" s="1295" t="s">
        <v>1506</v>
      </c>
      <c r="W6" s="1295" t="s">
        <v>1507</v>
      </c>
      <c r="X6" s="1295" t="s">
        <v>1508</v>
      </c>
      <c r="Y6" s="1277" t="s">
        <v>1509</v>
      </c>
      <c r="Z6" s="1298" t="s">
        <v>1510</v>
      </c>
      <c r="AA6" s="1299"/>
      <c r="AB6" s="1277" t="s">
        <v>1511</v>
      </c>
      <c r="AC6" s="1277" t="s">
        <v>1512</v>
      </c>
      <c r="AD6" s="1291" t="s">
        <v>1513</v>
      </c>
      <c r="AE6" s="1277" t="s">
        <v>1514</v>
      </c>
      <c r="AF6" s="1277" t="s">
        <v>1515</v>
      </c>
      <c r="AG6" s="1277" t="s">
        <v>1516</v>
      </c>
      <c r="AH6" s="1277" t="s">
        <v>1517</v>
      </c>
      <c r="AI6" s="1279" t="s">
        <v>1518</v>
      </c>
      <c r="AJ6" s="1279" t="s">
        <v>1519</v>
      </c>
      <c r="AK6" s="1279" t="s">
        <v>1520</v>
      </c>
      <c r="AL6" s="1316"/>
      <c r="AM6" s="1319"/>
      <c r="AN6" s="1322"/>
      <c r="AO6" s="1325"/>
      <c r="AP6" s="1282"/>
      <c r="AQ6" s="1282"/>
    </row>
    <row r="7" spans="1:43" ht="13.5" thickBot="1">
      <c r="A7" s="1311"/>
      <c r="B7" s="635"/>
      <c r="C7" s="636">
        <v>2020</v>
      </c>
      <c r="D7" s="637">
        <v>2021</v>
      </c>
      <c r="E7" s="637">
        <v>2020</v>
      </c>
      <c r="F7" s="637">
        <v>2021</v>
      </c>
      <c r="G7" s="637">
        <v>2020</v>
      </c>
      <c r="H7" s="637">
        <v>2020</v>
      </c>
      <c r="I7" s="637">
        <v>2021</v>
      </c>
      <c r="J7" s="1288"/>
      <c r="K7" s="1290"/>
      <c r="L7" s="1290"/>
      <c r="M7" s="1290"/>
      <c r="N7" s="1290"/>
      <c r="O7" s="1290"/>
      <c r="P7" s="1290"/>
      <c r="Q7" s="1290"/>
      <c r="R7" s="1290"/>
      <c r="S7" s="1288"/>
      <c r="T7" s="1296"/>
      <c r="U7" s="1294"/>
      <c r="V7" s="1296"/>
      <c r="W7" s="1297"/>
      <c r="X7" s="1297"/>
      <c r="Y7" s="1278"/>
      <c r="Z7" s="638">
        <v>2020</v>
      </c>
      <c r="AA7" s="639">
        <v>2021</v>
      </c>
      <c r="AB7" s="1278"/>
      <c r="AC7" s="1278"/>
      <c r="AD7" s="1292"/>
      <c r="AE7" s="1278"/>
      <c r="AF7" s="1278"/>
      <c r="AG7" s="1278"/>
      <c r="AH7" s="1278"/>
      <c r="AI7" s="1280"/>
      <c r="AJ7" s="1280"/>
      <c r="AK7" s="1280"/>
      <c r="AL7" s="1317"/>
      <c r="AM7" s="1320"/>
      <c r="AN7" s="1323"/>
      <c r="AO7" s="1326"/>
      <c r="AP7" s="1283"/>
      <c r="AQ7" s="1283"/>
    </row>
    <row r="8" spans="1:43" ht="25.5">
      <c r="A8" s="640" t="s">
        <v>1521</v>
      </c>
      <c r="B8" s="641"/>
      <c r="C8" s="642"/>
      <c r="D8" s="643"/>
      <c r="E8" s="642"/>
      <c r="F8" s="644"/>
      <c r="G8" s="644"/>
      <c r="H8" s="645">
        <f>+(H9*W9)+(H52*W52)</f>
        <v>0.96</v>
      </c>
      <c r="I8" s="645">
        <f>+(I9*X9)+(I52*X52)</f>
        <v>0.81475000000000009</v>
      </c>
      <c r="J8" s="646"/>
      <c r="K8" s="646"/>
      <c r="L8" s="647"/>
      <c r="M8" s="648"/>
      <c r="N8" s="648"/>
      <c r="O8" s="646"/>
      <c r="P8" s="646"/>
      <c r="Q8" s="646"/>
      <c r="R8" s="649"/>
      <c r="S8" s="650"/>
      <c r="T8" s="651"/>
      <c r="U8" s="652"/>
      <c r="V8" s="653">
        <f>+(V9*W9)+(V52*W52)</f>
        <v>0.5032005659402744</v>
      </c>
      <c r="W8" s="654">
        <v>0.25</v>
      </c>
      <c r="X8" s="655">
        <v>0.25</v>
      </c>
      <c r="Y8" s="656">
        <f>+Y9+Y52</f>
        <v>13292000000</v>
      </c>
      <c r="Z8" s="656">
        <f>+Z9+Z52</f>
        <v>3158128529</v>
      </c>
      <c r="AA8" s="656">
        <f>+AA9+AA52</f>
        <v>11309751818.360001</v>
      </c>
      <c r="AB8" s="657">
        <f t="shared" ref="AB8:AB71" si="0">+AA8/Y8</f>
        <v>0.85086908052663257</v>
      </c>
      <c r="AC8" s="656">
        <f>+AC9+AC52</f>
        <v>5932261426.5599995</v>
      </c>
      <c r="AD8" s="658">
        <f>+AC8/Y8</f>
        <v>0.4463031467469154</v>
      </c>
      <c r="AE8" s="659">
        <f>+AA8-AC8</f>
        <v>5377490391.8000011</v>
      </c>
      <c r="AF8" s="656">
        <f>+AF9+AF52</f>
        <v>1397315599</v>
      </c>
      <c r="AG8" s="656">
        <f>+AG9+AG52</f>
        <v>524872850</v>
      </c>
      <c r="AH8" s="660">
        <f>+AG8/AF8</f>
        <v>0.37562942142464412</v>
      </c>
      <c r="AI8" s="656">
        <f>+AI9+AI52</f>
        <v>29050000000.5</v>
      </c>
      <c r="AJ8" s="656">
        <f>+AJ9+AJ52</f>
        <v>7060101617</v>
      </c>
      <c r="AK8" s="660">
        <f>+AJ8/AI8</f>
        <v>0.2430327578959891</v>
      </c>
      <c r="AL8" s="661"/>
      <c r="AM8" s="662"/>
      <c r="AN8" s="663"/>
      <c r="AO8" s="664"/>
      <c r="AP8" s="665"/>
      <c r="AQ8" s="665"/>
    </row>
    <row r="9" spans="1:43" ht="62.25" customHeight="1">
      <c r="A9" s="666" t="s">
        <v>1522</v>
      </c>
      <c r="B9" s="667"/>
      <c r="C9" s="668"/>
      <c r="D9" s="669"/>
      <c r="E9" s="668"/>
      <c r="F9" s="670"/>
      <c r="G9" s="670"/>
      <c r="H9" s="671">
        <f>+(H10*W10)+(H18*W18)+(H22*W22)+(H30*W30)+(H36*W36)+(H42*W42)</f>
        <v>1</v>
      </c>
      <c r="I9" s="671">
        <f>+(I10*X10)+(I18*X18)+(I22*X22)+(I30*X30)+(I36*X36)+(I42*X42)</f>
        <v>0.71625000000000005</v>
      </c>
      <c r="J9" s="672"/>
      <c r="K9" s="672"/>
      <c r="L9" s="672"/>
      <c r="M9" s="667"/>
      <c r="N9" s="667"/>
      <c r="O9" s="672"/>
      <c r="P9" s="672"/>
      <c r="Q9" s="672"/>
      <c r="R9" s="672"/>
      <c r="S9" s="673"/>
      <c r="T9" s="674"/>
      <c r="U9" s="675"/>
      <c r="V9" s="676">
        <f>+(V10*W10)+(V18*W18)+(V22*W22)+(V30*W30)+(V36*W36)+(V42*W42)</f>
        <v>0.54383960990045743</v>
      </c>
      <c r="W9" s="677">
        <v>0.6</v>
      </c>
      <c r="X9" s="671">
        <v>0.6</v>
      </c>
      <c r="Y9" s="678">
        <f>+Y10+Y18+Y22+Y30+Y36+Y42</f>
        <v>6252000000</v>
      </c>
      <c r="Z9" s="678">
        <f>+Z10+Z18+Z22+Z30+Z36+Z42</f>
        <v>2782219396</v>
      </c>
      <c r="AA9" s="678">
        <f>+AA10+AA18+AA22+AA30+AA36+AA42</f>
        <v>4505827777</v>
      </c>
      <c r="AB9" s="679">
        <f t="shared" si="0"/>
        <v>0.72070181973768399</v>
      </c>
      <c r="AC9" s="678">
        <f>+AC10+AC18+AC22+AC30+AC36+AC42</f>
        <v>3929389893.1999998</v>
      </c>
      <c r="AD9" s="677">
        <f t="shared" ref="AD9:AD72" si="1">+AC9/Y9</f>
        <v>0.62850126250799743</v>
      </c>
      <c r="AE9" s="680">
        <f t="shared" ref="AE9:AE72" si="2">+AA9-AC9</f>
        <v>576437883.80000019</v>
      </c>
      <c r="AF9" s="678">
        <f>+AF10+AF18+AF22+AF30+AF36+AF42</f>
        <v>1332442749</v>
      </c>
      <c r="AG9" s="678">
        <f>+AG10+AG18+AG22+AG30+AG36+AG42</f>
        <v>460000000</v>
      </c>
      <c r="AH9" s="681">
        <f t="shared" ref="AH9:AH72" si="3">+AG9/AF9</f>
        <v>0.34523059271794648</v>
      </c>
      <c r="AI9" s="678">
        <f>+AI10+AI18+AI22+AI30+AI36+AI42</f>
        <v>16950000000.5</v>
      </c>
      <c r="AJ9" s="678">
        <f>+AJ10+AJ18+AJ22+AJ30+AJ36+AJ42</f>
        <v>6480562157</v>
      </c>
      <c r="AK9" s="671">
        <f t="shared" ref="AK9:AK72" si="4">+AJ9/AI9</f>
        <v>0.38233405054919367</v>
      </c>
      <c r="AL9" s="682"/>
      <c r="AM9" s="683" t="s">
        <v>1317</v>
      </c>
      <c r="AN9" s="684"/>
      <c r="AO9" s="685"/>
      <c r="AP9" s="686"/>
      <c r="AQ9" s="686"/>
    </row>
    <row r="10" spans="1:43" s="709" customFormat="1" ht="78.75" customHeight="1" thickBot="1">
      <c r="A10" s="687" t="s">
        <v>1523</v>
      </c>
      <c r="B10" s="688"/>
      <c r="C10" s="689"/>
      <c r="D10" s="690"/>
      <c r="E10" s="689"/>
      <c r="F10" s="691"/>
      <c r="G10" s="691"/>
      <c r="H10" s="692">
        <f>+(H11*10%)+(H12*20%)+(H13*20%)+(H16*25%)+(H17*25%)</f>
        <v>1</v>
      </c>
      <c r="I10" s="693">
        <f>+SUMPRODUCT(I11:I17,X11:X17)</f>
        <v>0.6</v>
      </c>
      <c r="J10" s="694"/>
      <c r="K10" s="694"/>
      <c r="L10" s="694"/>
      <c r="M10" s="688"/>
      <c r="N10" s="688"/>
      <c r="O10" s="694"/>
      <c r="P10" s="694"/>
      <c r="Q10" s="694"/>
      <c r="R10" s="694"/>
      <c r="S10" s="695"/>
      <c r="T10" s="696"/>
      <c r="U10" s="697"/>
      <c r="V10" s="676">
        <f>+SUMPRODUCT(V11:V17,W11:W17)</f>
        <v>0.86004237288135599</v>
      </c>
      <c r="W10" s="698">
        <v>0.15</v>
      </c>
      <c r="X10" s="693">
        <v>0.15</v>
      </c>
      <c r="Y10" s="699">
        <v>527000000</v>
      </c>
      <c r="Z10" s="699">
        <v>67400000</v>
      </c>
      <c r="AA10" s="699">
        <v>183568652</v>
      </c>
      <c r="AB10" s="700">
        <f t="shared" si="0"/>
        <v>0.34832761290322578</v>
      </c>
      <c r="AC10" s="699">
        <v>183568652</v>
      </c>
      <c r="AD10" s="701">
        <f t="shared" si="1"/>
        <v>0.34832761290322578</v>
      </c>
      <c r="AE10" s="702">
        <f t="shared" si="2"/>
        <v>0</v>
      </c>
      <c r="AF10" s="702">
        <v>25000000</v>
      </c>
      <c r="AG10" s="702">
        <v>25000000</v>
      </c>
      <c r="AH10" s="703">
        <f>+AG10/AF10</f>
        <v>1</v>
      </c>
      <c r="AI10" s="699">
        <f>SUM(AI11:AI17)</f>
        <v>1450000000</v>
      </c>
      <c r="AJ10" s="699">
        <f>+SUM(Z10:AA10)</f>
        <v>250968652</v>
      </c>
      <c r="AK10" s="693">
        <f t="shared" si="4"/>
        <v>0.17308182896551724</v>
      </c>
      <c r="AL10" s="704"/>
      <c r="AM10" s="705" t="s">
        <v>1317</v>
      </c>
      <c r="AN10" s="706"/>
      <c r="AO10" s="707"/>
      <c r="AP10" s="708"/>
      <c r="AQ10" s="708"/>
    </row>
    <row r="11" spans="1:43" ht="102">
      <c r="A11" s="710" t="s">
        <v>1524</v>
      </c>
      <c r="B11" s="711" t="s">
        <v>1525</v>
      </c>
      <c r="C11" s="712">
        <v>1</v>
      </c>
      <c r="D11" s="713">
        <v>1</v>
      </c>
      <c r="E11" s="714">
        <v>1</v>
      </c>
      <c r="F11" s="715">
        <v>2</v>
      </c>
      <c r="G11" s="715"/>
      <c r="H11" s="716">
        <f>IF((E11+G11)/C11&gt;=100%,100%,(E11+G11)/C11)</f>
        <v>1</v>
      </c>
      <c r="I11" s="717">
        <f>IF(F11/D11&gt;=100%,100%,F11/D11)</f>
        <v>1</v>
      </c>
      <c r="J11" s="718" t="s">
        <v>1526</v>
      </c>
      <c r="K11" s="718"/>
      <c r="L11" s="719"/>
      <c r="M11" s="720"/>
      <c r="N11" s="721"/>
      <c r="O11" s="718"/>
      <c r="P11" s="718"/>
      <c r="Q11" s="718"/>
      <c r="R11" s="722"/>
      <c r="S11" s="723"/>
      <c r="T11" s="724">
        <v>4</v>
      </c>
      <c r="U11" s="725">
        <f>SUM(E11:G11)</f>
        <v>3</v>
      </c>
      <c r="V11" s="726">
        <f t="shared" ref="V11:V17" si="5">IF(U11/T11&gt;=100%,100%,U11/T11)</f>
        <v>0.75</v>
      </c>
      <c r="W11" s="727">
        <v>0.17</v>
      </c>
      <c r="X11" s="716">
        <v>0.1</v>
      </c>
      <c r="Y11" s="728"/>
      <c r="Z11" s="729"/>
      <c r="AA11" s="729"/>
      <c r="AB11" s="730" t="e">
        <f t="shared" si="0"/>
        <v>#DIV/0!</v>
      </c>
      <c r="AC11" s="731"/>
      <c r="AD11" s="732" t="e">
        <f t="shared" si="1"/>
        <v>#DIV/0!</v>
      </c>
      <c r="AE11" s="733">
        <f t="shared" si="2"/>
        <v>0</v>
      </c>
      <c r="AF11" s="733"/>
      <c r="AG11" s="733"/>
      <c r="AH11" s="734"/>
      <c r="AI11" s="728">
        <v>221000000</v>
      </c>
      <c r="AJ11" s="735">
        <f>+SUM(Z11:AA11)</f>
        <v>0</v>
      </c>
      <c r="AK11" s="736">
        <f t="shared" si="4"/>
        <v>0</v>
      </c>
      <c r="AL11" s="737"/>
      <c r="AM11" s="738" t="s">
        <v>1317</v>
      </c>
      <c r="AN11" s="739" t="s">
        <v>557</v>
      </c>
      <c r="AO11" s="740" t="s">
        <v>1527</v>
      </c>
      <c r="AP11" s="741"/>
      <c r="AQ11" s="741"/>
    </row>
    <row r="12" spans="1:43" ht="102">
      <c r="A12" s="710" t="s">
        <v>1528</v>
      </c>
      <c r="B12" s="711" t="s">
        <v>1529</v>
      </c>
      <c r="C12" s="712">
        <v>5</v>
      </c>
      <c r="D12" s="713">
        <v>10</v>
      </c>
      <c r="E12" s="714">
        <v>30</v>
      </c>
      <c r="F12" s="715">
        <v>50</v>
      </c>
      <c r="G12" s="715"/>
      <c r="H12" s="716">
        <f t="shared" ref="H12:H13" si="6">IF((E12+G12)/C12&gt;=100%,100%,(E12+G12)/C12)</f>
        <v>1</v>
      </c>
      <c r="I12" s="717">
        <f t="shared" ref="I12:I17" si="7">IF(F12/D12&gt;=100%,100%,F12/D12)</f>
        <v>1</v>
      </c>
      <c r="J12" s="718" t="s">
        <v>1530</v>
      </c>
      <c r="K12" s="718"/>
      <c r="L12" s="719"/>
      <c r="M12" s="720"/>
      <c r="N12" s="721"/>
      <c r="O12" s="718"/>
      <c r="P12" s="718"/>
      <c r="Q12" s="718"/>
      <c r="R12" s="722"/>
      <c r="S12" s="742"/>
      <c r="T12" s="724">
        <v>60</v>
      </c>
      <c r="U12" s="725">
        <f>SUM(E12:G12)</f>
        <v>80</v>
      </c>
      <c r="V12" s="726">
        <f t="shared" si="5"/>
        <v>1</v>
      </c>
      <c r="W12" s="743">
        <v>0.22</v>
      </c>
      <c r="X12" s="716">
        <v>0.2</v>
      </c>
      <c r="Y12" s="728"/>
      <c r="Z12" s="744"/>
      <c r="AA12" s="744"/>
      <c r="AB12" s="730" t="e">
        <f t="shared" si="0"/>
        <v>#DIV/0!</v>
      </c>
      <c r="AC12" s="731"/>
      <c r="AD12" s="732" t="e">
        <f t="shared" si="1"/>
        <v>#DIV/0!</v>
      </c>
      <c r="AE12" s="733">
        <f t="shared" si="2"/>
        <v>0</v>
      </c>
      <c r="AF12" s="733"/>
      <c r="AG12" s="733"/>
      <c r="AH12" s="734"/>
      <c r="AI12" s="728">
        <v>540000000</v>
      </c>
      <c r="AJ12" s="735">
        <f t="shared" ref="AJ12:AJ74" si="8">+SUM(Z12:AA12)</f>
        <v>0</v>
      </c>
      <c r="AK12" s="736">
        <f t="shared" si="4"/>
        <v>0</v>
      </c>
      <c r="AL12" s="737"/>
      <c r="AM12" s="738" t="s">
        <v>1317</v>
      </c>
      <c r="AN12" s="739" t="s">
        <v>557</v>
      </c>
      <c r="AO12" s="740" t="s">
        <v>1527</v>
      </c>
      <c r="AP12" s="741"/>
      <c r="AQ12" s="741"/>
    </row>
    <row r="13" spans="1:43" ht="102">
      <c r="A13" s="745" t="s">
        <v>1531</v>
      </c>
      <c r="B13" s="711" t="s">
        <v>1532</v>
      </c>
      <c r="C13" s="712">
        <v>1</v>
      </c>
      <c r="D13" s="713">
        <v>2</v>
      </c>
      <c r="E13" s="714">
        <v>30</v>
      </c>
      <c r="F13" s="746">
        <v>0</v>
      </c>
      <c r="G13" s="715"/>
      <c r="H13" s="716">
        <f t="shared" si="6"/>
        <v>1</v>
      </c>
      <c r="I13" s="717">
        <f t="shared" si="7"/>
        <v>0</v>
      </c>
      <c r="J13" s="718" t="s">
        <v>1533</v>
      </c>
      <c r="K13" s="718"/>
      <c r="L13" s="719"/>
      <c r="M13" s="720"/>
      <c r="N13" s="721"/>
      <c r="O13" s="718"/>
      <c r="P13" s="718"/>
      <c r="Q13" s="718"/>
      <c r="R13" s="722"/>
      <c r="S13" s="747"/>
      <c r="T13" s="724">
        <v>7</v>
      </c>
      <c r="U13" s="725">
        <f t="shared" ref="U13:U35" si="9">SUM(E13:G13)</f>
        <v>30</v>
      </c>
      <c r="V13" s="726">
        <f t="shared" si="5"/>
        <v>1</v>
      </c>
      <c r="W13" s="743">
        <v>0.2</v>
      </c>
      <c r="X13" s="716">
        <v>0.2</v>
      </c>
      <c r="Y13" s="728"/>
      <c r="Z13" s="744"/>
      <c r="AA13" s="744"/>
      <c r="AB13" s="730" t="e">
        <f t="shared" si="0"/>
        <v>#DIV/0!</v>
      </c>
      <c r="AC13" s="731"/>
      <c r="AD13" s="732" t="e">
        <f t="shared" si="1"/>
        <v>#DIV/0!</v>
      </c>
      <c r="AE13" s="733">
        <f t="shared" si="2"/>
        <v>0</v>
      </c>
      <c r="AF13" s="733"/>
      <c r="AG13" s="733"/>
      <c r="AH13" s="734"/>
      <c r="AI13" s="728">
        <v>209000000</v>
      </c>
      <c r="AJ13" s="735">
        <f t="shared" si="8"/>
        <v>0</v>
      </c>
      <c r="AK13" s="736">
        <f t="shared" si="4"/>
        <v>0</v>
      </c>
      <c r="AL13" s="737"/>
      <c r="AM13" s="738" t="s">
        <v>1317</v>
      </c>
      <c r="AN13" s="739" t="s">
        <v>557</v>
      </c>
      <c r="AO13" s="740" t="s">
        <v>1527</v>
      </c>
      <c r="AP13" s="741"/>
      <c r="AQ13" s="741"/>
    </row>
    <row r="14" spans="1:43" ht="71.25" customHeight="1">
      <c r="A14" s="710" t="s">
        <v>1534</v>
      </c>
      <c r="B14" s="711" t="s">
        <v>1535</v>
      </c>
      <c r="C14" s="712">
        <v>0</v>
      </c>
      <c r="D14" s="713">
        <v>1</v>
      </c>
      <c r="E14" s="714" t="s">
        <v>1536</v>
      </c>
      <c r="F14" s="715">
        <v>0</v>
      </c>
      <c r="G14" s="715"/>
      <c r="H14" s="717" t="s">
        <v>1536</v>
      </c>
      <c r="I14" s="717">
        <f t="shared" si="7"/>
        <v>0</v>
      </c>
      <c r="J14" s="718" t="s">
        <v>1537</v>
      </c>
      <c r="K14" s="718"/>
      <c r="L14" s="719"/>
      <c r="M14" s="720"/>
      <c r="N14" s="721"/>
      <c r="O14" s="718"/>
      <c r="P14" s="718"/>
      <c r="Q14" s="718"/>
      <c r="R14" s="722"/>
      <c r="S14" s="747"/>
      <c r="T14" s="724">
        <v>1</v>
      </c>
      <c r="U14" s="725">
        <f t="shared" si="9"/>
        <v>0</v>
      </c>
      <c r="V14" s="726">
        <f t="shared" si="5"/>
        <v>0</v>
      </c>
      <c r="W14" s="743">
        <v>0.05</v>
      </c>
      <c r="X14" s="716">
        <v>0.2</v>
      </c>
      <c r="Y14" s="728"/>
      <c r="Z14" s="744"/>
      <c r="AA14" s="744"/>
      <c r="AB14" s="730" t="e">
        <f t="shared" si="0"/>
        <v>#DIV/0!</v>
      </c>
      <c r="AC14" s="731"/>
      <c r="AD14" s="732" t="e">
        <f t="shared" si="1"/>
        <v>#DIV/0!</v>
      </c>
      <c r="AE14" s="733">
        <f t="shared" si="2"/>
        <v>0</v>
      </c>
      <c r="AF14" s="733"/>
      <c r="AG14" s="733"/>
      <c r="AH14" s="734"/>
      <c r="AI14" s="728">
        <v>10000000</v>
      </c>
      <c r="AJ14" s="735">
        <f t="shared" si="8"/>
        <v>0</v>
      </c>
      <c r="AK14" s="736">
        <f t="shared" si="4"/>
        <v>0</v>
      </c>
      <c r="AL14" s="737"/>
      <c r="AM14" s="738" t="s">
        <v>1317</v>
      </c>
      <c r="AN14" s="739" t="s">
        <v>1326</v>
      </c>
      <c r="AO14" s="1264" t="s">
        <v>1538</v>
      </c>
      <c r="AP14" s="741"/>
      <c r="AQ14" s="741"/>
    </row>
    <row r="15" spans="1:43" ht="78" customHeight="1">
      <c r="A15" s="710" t="s">
        <v>1539</v>
      </c>
      <c r="B15" s="711" t="s">
        <v>1540</v>
      </c>
      <c r="C15" s="712">
        <v>0</v>
      </c>
      <c r="D15" s="713">
        <v>1</v>
      </c>
      <c r="E15" s="714">
        <v>0</v>
      </c>
      <c r="F15" s="715">
        <v>1</v>
      </c>
      <c r="G15" s="715"/>
      <c r="H15" s="717" t="s">
        <v>1541</v>
      </c>
      <c r="I15" s="717">
        <f t="shared" si="7"/>
        <v>1</v>
      </c>
      <c r="J15" s="718" t="s">
        <v>1542</v>
      </c>
      <c r="K15" s="718"/>
      <c r="L15" s="719"/>
      <c r="M15" s="720"/>
      <c r="N15" s="721"/>
      <c r="O15" s="718"/>
      <c r="P15" s="718"/>
      <c r="Q15" s="718"/>
      <c r="R15" s="722"/>
      <c r="S15" s="747"/>
      <c r="T15" s="724">
        <v>1</v>
      </c>
      <c r="U15" s="725">
        <f t="shared" si="9"/>
        <v>1</v>
      </c>
      <c r="V15" s="726">
        <f t="shared" si="5"/>
        <v>1</v>
      </c>
      <c r="W15" s="743">
        <v>0.08</v>
      </c>
      <c r="X15" s="716">
        <v>0.1</v>
      </c>
      <c r="Y15" s="728"/>
      <c r="Z15" s="744"/>
      <c r="AA15" s="744"/>
      <c r="AB15" s="730" t="e">
        <f t="shared" si="0"/>
        <v>#DIV/0!</v>
      </c>
      <c r="AC15" s="731"/>
      <c r="AD15" s="732" t="e">
        <f t="shared" si="1"/>
        <v>#DIV/0!</v>
      </c>
      <c r="AE15" s="733">
        <f t="shared" si="2"/>
        <v>0</v>
      </c>
      <c r="AF15" s="733"/>
      <c r="AG15" s="733"/>
      <c r="AH15" s="734"/>
      <c r="AI15" s="728">
        <v>40000000</v>
      </c>
      <c r="AJ15" s="735">
        <f t="shared" si="8"/>
        <v>0</v>
      </c>
      <c r="AK15" s="736">
        <f t="shared" si="4"/>
        <v>0</v>
      </c>
      <c r="AL15" s="737"/>
      <c r="AM15" s="738" t="s">
        <v>1317</v>
      </c>
      <c r="AN15" s="739" t="s">
        <v>772</v>
      </c>
      <c r="AO15" s="1265"/>
      <c r="AP15" s="741"/>
      <c r="AQ15" s="741"/>
    </row>
    <row r="16" spans="1:43" ht="71.25" customHeight="1">
      <c r="A16" s="745" t="s">
        <v>1543</v>
      </c>
      <c r="B16" s="711" t="s">
        <v>1544</v>
      </c>
      <c r="C16" s="712">
        <v>11</v>
      </c>
      <c r="D16" s="713">
        <v>25</v>
      </c>
      <c r="E16" s="714">
        <v>8</v>
      </c>
      <c r="F16" s="715">
        <v>28</v>
      </c>
      <c r="G16" s="715">
        <v>3</v>
      </c>
      <c r="H16" s="717">
        <f t="shared" ref="H16:H20" si="10">IF((E16+G16)/C16&gt;=100%,100%,(E16+G16)/C16)</f>
        <v>1</v>
      </c>
      <c r="I16" s="717">
        <f t="shared" si="7"/>
        <v>1</v>
      </c>
      <c r="J16" s="718" t="s">
        <v>1545</v>
      </c>
      <c r="K16" s="718"/>
      <c r="L16" s="719"/>
      <c r="M16" s="720"/>
      <c r="N16" s="721"/>
      <c r="O16" s="718"/>
      <c r="P16" s="718"/>
      <c r="Q16" s="718"/>
      <c r="R16" s="722"/>
      <c r="S16" s="747"/>
      <c r="T16" s="724">
        <v>59</v>
      </c>
      <c r="U16" s="725">
        <f t="shared" si="9"/>
        <v>39</v>
      </c>
      <c r="V16" s="726">
        <f t="shared" si="5"/>
        <v>0.66101694915254239</v>
      </c>
      <c r="W16" s="743">
        <v>0.14000000000000001</v>
      </c>
      <c r="X16" s="716">
        <v>0.1</v>
      </c>
      <c r="Y16" s="728"/>
      <c r="Z16" s="744"/>
      <c r="AA16" s="744"/>
      <c r="AB16" s="730" t="e">
        <f t="shared" si="0"/>
        <v>#DIV/0!</v>
      </c>
      <c r="AC16" s="731"/>
      <c r="AD16" s="732" t="e">
        <f t="shared" si="1"/>
        <v>#DIV/0!</v>
      </c>
      <c r="AE16" s="733">
        <f t="shared" si="2"/>
        <v>0</v>
      </c>
      <c r="AF16" s="733"/>
      <c r="AG16" s="733"/>
      <c r="AH16" s="734"/>
      <c r="AI16" s="728">
        <v>100000000</v>
      </c>
      <c r="AJ16" s="735">
        <f t="shared" si="8"/>
        <v>0</v>
      </c>
      <c r="AK16" s="736">
        <f t="shared" si="4"/>
        <v>0</v>
      </c>
      <c r="AL16" s="737"/>
      <c r="AM16" s="738" t="s">
        <v>1317</v>
      </c>
      <c r="AN16" s="739" t="s">
        <v>772</v>
      </c>
      <c r="AO16" s="1265"/>
      <c r="AP16" s="741"/>
      <c r="AQ16" s="741"/>
    </row>
    <row r="17" spans="1:43" ht="95.25" customHeight="1">
      <c r="A17" s="745" t="s">
        <v>1546</v>
      </c>
      <c r="B17" s="711" t="s">
        <v>1547</v>
      </c>
      <c r="C17" s="712">
        <v>1</v>
      </c>
      <c r="D17" s="713">
        <v>1</v>
      </c>
      <c r="E17" s="714">
        <v>1</v>
      </c>
      <c r="F17" s="715">
        <v>40</v>
      </c>
      <c r="G17" s="715"/>
      <c r="H17" s="717">
        <f t="shared" si="10"/>
        <v>1</v>
      </c>
      <c r="I17" s="717">
        <f t="shared" si="7"/>
        <v>1</v>
      </c>
      <c r="J17" s="718" t="s">
        <v>1548</v>
      </c>
      <c r="K17" s="718"/>
      <c r="L17" s="719"/>
      <c r="M17" s="720"/>
      <c r="N17" s="721"/>
      <c r="O17" s="718"/>
      <c r="P17" s="718"/>
      <c r="Q17" s="718"/>
      <c r="R17" s="722"/>
      <c r="S17" s="747"/>
      <c r="T17" s="724">
        <v>4</v>
      </c>
      <c r="U17" s="725">
        <f t="shared" si="9"/>
        <v>41</v>
      </c>
      <c r="V17" s="726">
        <f t="shared" si="5"/>
        <v>1</v>
      </c>
      <c r="W17" s="743">
        <v>0.14000000000000001</v>
      </c>
      <c r="X17" s="716">
        <v>0.1</v>
      </c>
      <c r="Y17" s="728"/>
      <c r="Z17" s="744"/>
      <c r="AA17" s="744"/>
      <c r="AB17" s="730" t="e">
        <f t="shared" si="0"/>
        <v>#DIV/0!</v>
      </c>
      <c r="AC17" s="731"/>
      <c r="AD17" s="732" t="e">
        <f t="shared" si="1"/>
        <v>#DIV/0!</v>
      </c>
      <c r="AE17" s="733">
        <f t="shared" si="2"/>
        <v>0</v>
      </c>
      <c r="AF17" s="733"/>
      <c r="AG17" s="733"/>
      <c r="AH17" s="734"/>
      <c r="AI17" s="728">
        <v>330000000</v>
      </c>
      <c r="AJ17" s="735">
        <f t="shared" si="8"/>
        <v>0</v>
      </c>
      <c r="AK17" s="736">
        <f t="shared" si="4"/>
        <v>0</v>
      </c>
      <c r="AL17" s="737"/>
      <c r="AM17" s="738" t="s">
        <v>1317</v>
      </c>
      <c r="AN17" s="739" t="s">
        <v>772</v>
      </c>
      <c r="AO17" s="1266"/>
      <c r="AP17" s="741"/>
      <c r="AQ17" s="741"/>
    </row>
    <row r="18" spans="1:43" s="709" customFormat="1" ht="71.25" customHeight="1">
      <c r="A18" s="687" t="s">
        <v>1549</v>
      </c>
      <c r="B18" s="688"/>
      <c r="C18" s="689"/>
      <c r="D18" s="690"/>
      <c r="E18" s="689"/>
      <c r="F18" s="691"/>
      <c r="G18" s="691"/>
      <c r="H18" s="693">
        <f>+(H19*50%)+(H20*50%)</f>
        <v>1</v>
      </c>
      <c r="I18" s="693">
        <f>+SUMPRODUCT(I19:I21,X19:X21)</f>
        <v>0.55249999999999999</v>
      </c>
      <c r="J18" s="694"/>
      <c r="K18" s="694"/>
      <c r="L18" s="694"/>
      <c r="M18" s="688"/>
      <c r="N18" s="688"/>
      <c r="O18" s="694"/>
      <c r="P18" s="694"/>
      <c r="Q18" s="694"/>
      <c r="R18" s="694"/>
      <c r="S18" s="695"/>
      <c r="T18" s="696"/>
      <c r="U18" s="697"/>
      <c r="V18" s="676">
        <f>+SUMPRODUCT(V19:V21,W19:W21)</f>
        <v>0.37110000000000004</v>
      </c>
      <c r="W18" s="693">
        <v>0.15</v>
      </c>
      <c r="X18" s="693">
        <v>0.15</v>
      </c>
      <c r="Y18" s="699">
        <v>200000000</v>
      </c>
      <c r="Z18" s="699">
        <v>90377923</v>
      </c>
      <c r="AA18" s="699">
        <v>186826667</v>
      </c>
      <c r="AB18" s="700">
        <f t="shared" si="0"/>
        <v>0.93413333499999995</v>
      </c>
      <c r="AC18" s="699">
        <v>176826667</v>
      </c>
      <c r="AD18" s="701">
        <f t="shared" si="1"/>
        <v>0.88413333500000002</v>
      </c>
      <c r="AE18" s="702">
        <f t="shared" si="2"/>
        <v>10000000</v>
      </c>
      <c r="AF18" s="748">
        <v>0</v>
      </c>
      <c r="AG18" s="748">
        <v>0</v>
      </c>
      <c r="AH18" s="703" t="e">
        <f t="shared" si="3"/>
        <v>#DIV/0!</v>
      </c>
      <c r="AI18" s="699">
        <f>SUM(AI19:AI21)</f>
        <v>1000000000</v>
      </c>
      <c r="AJ18" s="699">
        <f>+SUM(Z18:AA18)</f>
        <v>277204590</v>
      </c>
      <c r="AK18" s="693">
        <f t="shared" si="4"/>
        <v>0.27720458999999997</v>
      </c>
      <c r="AL18" s="704"/>
      <c r="AM18" s="705" t="s">
        <v>1317</v>
      </c>
      <c r="AN18" s="706"/>
      <c r="AO18" s="707"/>
      <c r="AP18" s="708"/>
      <c r="AQ18" s="708"/>
    </row>
    <row r="19" spans="1:43" ht="72.75" customHeight="1">
      <c r="A19" s="710" t="s">
        <v>1550</v>
      </c>
      <c r="B19" s="749" t="s">
        <v>1551</v>
      </c>
      <c r="C19" s="750">
        <v>1</v>
      </c>
      <c r="D19" s="743">
        <v>1</v>
      </c>
      <c r="E19" s="751">
        <v>1</v>
      </c>
      <c r="F19" s="732">
        <v>0.6</v>
      </c>
      <c r="G19" s="715"/>
      <c r="H19" s="717">
        <f t="shared" si="10"/>
        <v>1</v>
      </c>
      <c r="I19" s="717">
        <f>IF(F19/D19&gt;=100%,100%,F19/D19)</f>
        <v>0.6</v>
      </c>
      <c r="J19" s="718" t="s">
        <v>1552</v>
      </c>
      <c r="K19" s="718"/>
      <c r="L19" s="719"/>
      <c r="M19" s="720"/>
      <c r="N19" s="721"/>
      <c r="O19" s="718"/>
      <c r="P19" s="718"/>
      <c r="Q19" s="718"/>
      <c r="R19" s="722"/>
      <c r="S19" s="723"/>
      <c r="T19" s="732">
        <v>1</v>
      </c>
      <c r="U19" s="752">
        <f>SUM(E19:G19)/4</f>
        <v>0.4</v>
      </c>
      <c r="V19" s="753">
        <f>IF(U19/T19&gt;=100%,100%,U19/T19)</f>
        <v>0.4</v>
      </c>
      <c r="W19" s="743">
        <v>0.5</v>
      </c>
      <c r="X19" s="716">
        <v>0.5</v>
      </c>
      <c r="Y19" s="754"/>
      <c r="Z19" s="729"/>
      <c r="AA19" s="729"/>
      <c r="AB19" s="730" t="e">
        <f t="shared" si="0"/>
        <v>#DIV/0!</v>
      </c>
      <c r="AC19" s="731"/>
      <c r="AD19" s="732" t="e">
        <f t="shared" si="1"/>
        <v>#DIV/0!</v>
      </c>
      <c r="AE19" s="733">
        <f t="shared" si="2"/>
        <v>0</v>
      </c>
      <c r="AF19" s="733">
        <v>0</v>
      </c>
      <c r="AG19" s="733"/>
      <c r="AH19" s="734"/>
      <c r="AI19" s="754">
        <v>450000000</v>
      </c>
      <c r="AJ19" s="735">
        <f t="shared" si="8"/>
        <v>0</v>
      </c>
      <c r="AK19" s="736">
        <f t="shared" si="4"/>
        <v>0</v>
      </c>
      <c r="AL19" s="737"/>
      <c r="AM19" s="738" t="s">
        <v>1317</v>
      </c>
      <c r="AN19" s="739" t="s">
        <v>702</v>
      </c>
      <c r="AO19" s="755" t="s">
        <v>1553</v>
      </c>
      <c r="AP19" s="741"/>
      <c r="AQ19" s="741"/>
    </row>
    <row r="20" spans="1:43" ht="72.75" customHeight="1">
      <c r="A20" s="710" t="s">
        <v>1554</v>
      </c>
      <c r="B20" s="711" t="s">
        <v>1555</v>
      </c>
      <c r="C20" s="750">
        <v>1</v>
      </c>
      <c r="D20" s="743">
        <v>1</v>
      </c>
      <c r="E20" s="751">
        <v>1</v>
      </c>
      <c r="F20" s="732">
        <v>0.01</v>
      </c>
      <c r="G20" s="715"/>
      <c r="H20" s="717">
        <f t="shared" si="10"/>
        <v>1</v>
      </c>
      <c r="I20" s="716">
        <f>IF(F20/D20&gt;=100%,100%,F20/D20)</f>
        <v>0.01</v>
      </c>
      <c r="J20" s="718" t="s">
        <v>1556</v>
      </c>
      <c r="K20" s="718"/>
      <c r="L20" s="719"/>
      <c r="M20" s="720"/>
      <c r="N20" s="721"/>
      <c r="O20" s="718"/>
      <c r="P20" s="718"/>
      <c r="Q20" s="718"/>
      <c r="R20" s="722"/>
      <c r="S20" s="742"/>
      <c r="T20" s="732">
        <v>1</v>
      </c>
      <c r="U20" s="752">
        <f>SUM(E20:G20)/4</f>
        <v>0.2525</v>
      </c>
      <c r="V20" s="753">
        <f>IF(U20/T20&gt;=100%,100%,U20/T20)</f>
        <v>0.2525</v>
      </c>
      <c r="W20" s="743">
        <v>0.44</v>
      </c>
      <c r="X20" s="716">
        <v>0.25</v>
      </c>
      <c r="Y20" s="754"/>
      <c r="Z20" s="744"/>
      <c r="AA20" s="744"/>
      <c r="AB20" s="730" t="e">
        <f t="shared" si="0"/>
        <v>#DIV/0!</v>
      </c>
      <c r="AC20" s="731"/>
      <c r="AD20" s="732" t="e">
        <f t="shared" si="1"/>
        <v>#DIV/0!</v>
      </c>
      <c r="AE20" s="733">
        <f t="shared" si="2"/>
        <v>0</v>
      </c>
      <c r="AF20" s="733"/>
      <c r="AG20" s="733"/>
      <c r="AH20" s="734"/>
      <c r="AI20" s="754">
        <v>430000000</v>
      </c>
      <c r="AJ20" s="735">
        <f t="shared" si="8"/>
        <v>0</v>
      </c>
      <c r="AK20" s="736">
        <f t="shared" si="4"/>
        <v>0</v>
      </c>
      <c r="AL20" s="737"/>
      <c r="AM20" s="738" t="s">
        <v>1317</v>
      </c>
      <c r="AN20" s="739" t="s">
        <v>1326</v>
      </c>
      <c r="AO20" s="755" t="s">
        <v>1553</v>
      </c>
      <c r="AP20" s="741"/>
      <c r="AQ20" s="741"/>
    </row>
    <row r="21" spans="1:43" ht="318.75">
      <c r="A21" s="710" t="s">
        <v>1557</v>
      </c>
      <c r="B21" s="711" t="s">
        <v>1558</v>
      </c>
      <c r="C21" s="756">
        <v>0</v>
      </c>
      <c r="D21" s="757">
        <v>1</v>
      </c>
      <c r="E21" s="714">
        <v>0</v>
      </c>
      <c r="F21" s="715">
        <v>3</v>
      </c>
      <c r="G21" s="715"/>
      <c r="H21" s="717" t="s">
        <v>1536</v>
      </c>
      <c r="I21" s="716">
        <f>IF(F21/D21&gt;=100%,100%,F21/D21)</f>
        <v>1</v>
      </c>
      <c r="J21" s="718" t="s">
        <v>1559</v>
      </c>
      <c r="K21" s="718"/>
      <c r="L21" s="719"/>
      <c r="M21" s="720"/>
      <c r="N21" s="721"/>
      <c r="O21" s="718"/>
      <c r="P21" s="718"/>
      <c r="Q21" s="718"/>
      <c r="R21" s="722"/>
      <c r="S21" s="747"/>
      <c r="T21" s="724">
        <v>1</v>
      </c>
      <c r="U21" s="725">
        <f t="shared" si="9"/>
        <v>3</v>
      </c>
      <c r="V21" s="726">
        <f>IF(U21/T21&gt;=100%,100%,U21/T21)</f>
        <v>1</v>
      </c>
      <c r="W21" s="743">
        <v>0.06</v>
      </c>
      <c r="X21" s="716">
        <v>0.25</v>
      </c>
      <c r="Y21" s="754"/>
      <c r="Z21" s="744"/>
      <c r="AA21" s="744"/>
      <c r="AB21" s="730" t="e">
        <f t="shared" si="0"/>
        <v>#DIV/0!</v>
      </c>
      <c r="AC21" s="731"/>
      <c r="AD21" s="732" t="e">
        <f t="shared" si="1"/>
        <v>#DIV/0!</v>
      </c>
      <c r="AE21" s="733">
        <f t="shared" si="2"/>
        <v>0</v>
      </c>
      <c r="AF21" s="733"/>
      <c r="AG21" s="733"/>
      <c r="AH21" s="734"/>
      <c r="AI21" s="754">
        <v>120000000</v>
      </c>
      <c r="AJ21" s="735">
        <f t="shared" si="8"/>
        <v>0</v>
      </c>
      <c r="AK21" s="736">
        <f t="shared" si="4"/>
        <v>0</v>
      </c>
      <c r="AL21" s="737"/>
      <c r="AM21" s="738" t="s">
        <v>1317</v>
      </c>
      <c r="AN21" s="739" t="s">
        <v>702</v>
      </c>
      <c r="AO21" s="755" t="s">
        <v>1553</v>
      </c>
      <c r="AP21" s="741"/>
      <c r="AQ21" s="741"/>
    </row>
    <row r="22" spans="1:43" s="709" customFormat="1" ht="72.75" customHeight="1">
      <c r="A22" s="687" t="s">
        <v>1560</v>
      </c>
      <c r="B22" s="688"/>
      <c r="C22" s="689"/>
      <c r="D22" s="690"/>
      <c r="E22" s="689"/>
      <c r="F22" s="691"/>
      <c r="G22" s="691"/>
      <c r="H22" s="693">
        <f>+(H23*15%)+(H25*10%)+(H26*25%)+(H29*50%)</f>
        <v>1</v>
      </c>
      <c r="I22" s="693">
        <f>+SUMPRODUCT(I23:I29,X23:X29)</f>
        <v>1</v>
      </c>
      <c r="J22" s="694"/>
      <c r="K22" s="694"/>
      <c r="L22" s="694"/>
      <c r="M22" s="688"/>
      <c r="N22" s="688"/>
      <c r="O22" s="694"/>
      <c r="P22" s="694"/>
      <c r="Q22" s="694"/>
      <c r="R22" s="694"/>
      <c r="S22" s="695"/>
      <c r="T22" s="696"/>
      <c r="U22" s="697"/>
      <c r="V22" s="676">
        <f>+SUMPRODUCT(V23:V29,W23:W29)</f>
        <v>0.59866666666666668</v>
      </c>
      <c r="W22" s="693">
        <v>0.2</v>
      </c>
      <c r="X22" s="693">
        <v>0.2</v>
      </c>
      <c r="Y22" s="699">
        <v>1225000000</v>
      </c>
      <c r="Z22" s="699">
        <v>250000000</v>
      </c>
      <c r="AA22" s="699">
        <v>557485016</v>
      </c>
      <c r="AB22" s="700">
        <f t="shared" si="0"/>
        <v>0.45508980897959184</v>
      </c>
      <c r="AC22" s="699">
        <v>525018512</v>
      </c>
      <c r="AD22" s="701">
        <f t="shared" si="1"/>
        <v>0.42858654040816324</v>
      </c>
      <c r="AE22" s="702">
        <f t="shared" si="2"/>
        <v>32466504</v>
      </c>
      <c r="AF22" s="702"/>
      <c r="AG22" s="702"/>
      <c r="AH22" s="703" t="e">
        <f t="shared" si="3"/>
        <v>#DIV/0!</v>
      </c>
      <c r="AI22" s="699">
        <f>SUM(AI23:AI29)</f>
        <v>1700000000</v>
      </c>
      <c r="AJ22" s="699">
        <f>SUM(AJ23:AJ29)</f>
        <v>0</v>
      </c>
      <c r="AK22" s="693">
        <f t="shared" si="4"/>
        <v>0</v>
      </c>
      <c r="AL22" s="704"/>
      <c r="AM22" s="705"/>
      <c r="AN22" s="706"/>
      <c r="AO22" s="707"/>
      <c r="AP22" s="708"/>
      <c r="AQ22" s="708"/>
    </row>
    <row r="23" spans="1:43" ht="82.5" customHeight="1">
      <c r="A23" s="710" t="s">
        <v>1561</v>
      </c>
      <c r="B23" s="749" t="s">
        <v>1562</v>
      </c>
      <c r="C23" s="758">
        <v>2</v>
      </c>
      <c r="D23" s="759">
        <v>2</v>
      </c>
      <c r="E23" s="714">
        <v>3</v>
      </c>
      <c r="F23" s="715">
        <v>3</v>
      </c>
      <c r="G23" s="715"/>
      <c r="H23" s="717">
        <f t="shared" ref="H23" si="11">IF((E23+G23)/C23&gt;=100%,100%,(E23+G23)/C23)</f>
        <v>1</v>
      </c>
      <c r="I23" s="717">
        <f>IF(F23/D23&gt;=100%,100%,F23/D23)</f>
        <v>1</v>
      </c>
      <c r="J23" s="718" t="s">
        <v>1563</v>
      </c>
      <c r="K23" s="718"/>
      <c r="L23" s="719"/>
      <c r="M23" s="720"/>
      <c r="N23" s="721"/>
      <c r="O23" s="718"/>
      <c r="P23" s="718"/>
      <c r="Q23" s="718"/>
      <c r="R23" s="722"/>
      <c r="S23" s="723"/>
      <c r="T23" s="724">
        <v>8</v>
      </c>
      <c r="U23" s="725">
        <f t="shared" si="9"/>
        <v>6</v>
      </c>
      <c r="V23" s="726">
        <f t="shared" ref="V23:V35" si="12">IF(U23/T23&gt;=100%,100%,U23/T23)</f>
        <v>0.75</v>
      </c>
      <c r="W23" s="760">
        <v>0.16</v>
      </c>
      <c r="X23" s="716">
        <v>0.1</v>
      </c>
      <c r="Y23" s="754"/>
      <c r="Z23" s="729"/>
      <c r="AA23" s="729"/>
      <c r="AB23" s="730" t="e">
        <f t="shared" si="0"/>
        <v>#DIV/0!</v>
      </c>
      <c r="AC23" s="731"/>
      <c r="AD23" s="732" t="e">
        <f t="shared" si="1"/>
        <v>#DIV/0!</v>
      </c>
      <c r="AE23" s="733">
        <f t="shared" si="2"/>
        <v>0</v>
      </c>
      <c r="AF23" s="733"/>
      <c r="AG23" s="733"/>
      <c r="AH23" s="734" t="e">
        <f t="shared" si="3"/>
        <v>#DIV/0!</v>
      </c>
      <c r="AI23" s="754">
        <v>180714285.71000001</v>
      </c>
      <c r="AJ23" s="735">
        <f t="shared" si="8"/>
        <v>0</v>
      </c>
      <c r="AK23" s="736">
        <f t="shared" si="4"/>
        <v>0</v>
      </c>
      <c r="AL23" s="737"/>
      <c r="AM23" s="738" t="s">
        <v>1317</v>
      </c>
      <c r="AN23" s="739"/>
      <c r="AO23" s="740" t="s">
        <v>1564</v>
      </c>
      <c r="AP23" s="741"/>
      <c r="AQ23" s="741"/>
    </row>
    <row r="24" spans="1:43" ht="102">
      <c r="A24" s="710" t="s">
        <v>1565</v>
      </c>
      <c r="B24" s="711" t="s">
        <v>1566</v>
      </c>
      <c r="C24" s="758">
        <v>0</v>
      </c>
      <c r="D24" s="759">
        <v>2</v>
      </c>
      <c r="E24" s="714" t="s">
        <v>1536</v>
      </c>
      <c r="F24" s="715">
        <v>2</v>
      </c>
      <c r="G24" s="715"/>
      <c r="H24" s="761" t="s">
        <v>1536</v>
      </c>
      <c r="I24" s="717">
        <f t="shared" ref="I24:I29" si="13">IF(F24/D24&gt;=100%,100%,F24/D24)</f>
        <v>1</v>
      </c>
      <c r="J24" s="718" t="s">
        <v>1567</v>
      </c>
      <c r="K24" s="718"/>
      <c r="L24" s="719"/>
      <c r="M24" s="720"/>
      <c r="N24" s="721"/>
      <c r="O24" s="718"/>
      <c r="P24" s="718"/>
      <c r="Q24" s="718"/>
      <c r="R24" s="722"/>
      <c r="S24" s="742"/>
      <c r="T24" s="724">
        <v>5</v>
      </c>
      <c r="U24" s="725">
        <f t="shared" si="9"/>
        <v>2</v>
      </c>
      <c r="V24" s="726">
        <f t="shared" si="12"/>
        <v>0.4</v>
      </c>
      <c r="W24" s="743">
        <v>0.13</v>
      </c>
      <c r="X24" s="716">
        <v>0.1</v>
      </c>
      <c r="Y24" s="754"/>
      <c r="Z24" s="744"/>
      <c r="AA24" s="744"/>
      <c r="AB24" s="730" t="e">
        <f t="shared" si="0"/>
        <v>#DIV/0!</v>
      </c>
      <c r="AC24" s="731"/>
      <c r="AD24" s="732" t="e">
        <f t="shared" si="1"/>
        <v>#DIV/0!</v>
      </c>
      <c r="AE24" s="733">
        <f t="shared" si="2"/>
        <v>0</v>
      </c>
      <c r="AF24" s="733"/>
      <c r="AG24" s="733"/>
      <c r="AH24" s="734" t="e">
        <f t="shared" si="3"/>
        <v>#DIV/0!</v>
      </c>
      <c r="AI24" s="754">
        <v>115714285.71000001</v>
      </c>
      <c r="AJ24" s="735">
        <f t="shared" si="8"/>
        <v>0</v>
      </c>
      <c r="AK24" s="736">
        <f t="shared" si="4"/>
        <v>0</v>
      </c>
      <c r="AL24" s="737"/>
      <c r="AM24" s="738" t="s">
        <v>1317</v>
      </c>
      <c r="AN24" s="739"/>
      <c r="AO24" s="740" t="s">
        <v>1568</v>
      </c>
      <c r="AP24" s="741"/>
      <c r="AQ24" s="741"/>
    </row>
    <row r="25" spans="1:43" ht="102">
      <c r="A25" s="710" t="s">
        <v>1569</v>
      </c>
      <c r="B25" s="711" t="s">
        <v>1570</v>
      </c>
      <c r="C25" s="762">
        <v>1</v>
      </c>
      <c r="D25" s="763">
        <v>1</v>
      </c>
      <c r="E25" s="751">
        <v>1</v>
      </c>
      <c r="F25" s="732">
        <v>1</v>
      </c>
      <c r="G25" s="715"/>
      <c r="H25" s="717">
        <f t="shared" ref="H25:H26" si="14">IF((E25+G25)/C25&gt;=100%,100%,(E25+G25)/C25)</f>
        <v>1</v>
      </c>
      <c r="I25" s="717">
        <f t="shared" si="13"/>
        <v>1</v>
      </c>
      <c r="J25" s="718" t="s">
        <v>1571</v>
      </c>
      <c r="K25" s="718"/>
      <c r="L25" s="719"/>
      <c r="M25" s="720"/>
      <c r="N25" s="721"/>
      <c r="O25" s="718"/>
      <c r="P25" s="718"/>
      <c r="Q25" s="718"/>
      <c r="R25" s="722"/>
      <c r="S25" s="742"/>
      <c r="T25" s="732">
        <v>1</v>
      </c>
      <c r="U25" s="752">
        <f>SUM(E25:G25)/4</f>
        <v>0.5</v>
      </c>
      <c r="V25" s="753">
        <f t="shared" si="12"/>
        <v>0.5</v>
      </c>
      <c r="W25" s="743">
        <v>0.1</v>
      </c>
      <c r="X25" s="716">
        <v>0.1</v>
      </c>
      <c r="Y25" s="754"/>
      <c r="Z25" s="744"/>
      <c r="AA25" s="744"/>
      <c r="AB25" s="730" t="e">
        <f t="shared" si="0"/>
        <v>#DIV/0!</v>
      </c>
      <c r="AC25" s="731"/>
      <c r="AD25" s="732" t="e">
        <f t="shared" si="1"/>
        <v>#DIV/0!</v>
      </c>
      <c r="AE25" s="733">
        <f t="shared" si="2"/>
        <v>0</v>
      </c>
      <c r="AF25" s="733"/>
      <c r="AG25" s="733"/>
      <c r="AH25" s="734" t="e">
        <f t="shared" si="3"/>
        <v>#DIV/0!</v>
      </c>
      <c r="AI25" s="754">
        <v>173000000</v>
      </c>
      <c r="AJ25" s="735">
        <f t="shared" si="8"/>
        <v>0</v>
      </c>
      <c r="AK25" s="736">
        <f t="shared" si="4"/>
        <v>0</v>
      </c>
      <c r="AL25" s="737"/>
      <c r="AM25" s="738" t="s">
        <v>1317</v>
      </c>
      <c r="AN25" s="739"/>
      <c r="AO25" s="740" t="s">
        <v>1568</v>
      </c>
      <c r="AP25" s="741"/>
      <c r="AQ25" s="741"/>
    </row>
    <row r="26" spans="1:43" ht="51.75" customHeight="1">
      <c r="A26" s="745" t="s">
        <v>1572</v>
      </c>
      <c r="B26" s="711" t="s">
        <v>1573</v>
      </c>
      <c r="C26" s="758">
        <v>25</v>
      </c>
      <c r="D26" s="759">
        <v>25</v>
      </c>
      <c r="E26" s="714">
        <v>25</v>
      </c>
      <c r="F26" s="715">
        <v>25</v>
      </c>
      <c r="G26" s="715"/>
      <c r="H26" s="717">
        <f t="shared" si="14"/>
        <v>1</v>
      </c>
      <c r="I26" s="717">
        <f t="shared" si="13"/>
        <v>1</v>
      </c>
      <c r="J26" s="718" t="s">
        <v>1574</v>
      </c>
      <c r="K26" s="718"/>
      <c r="L26" s="719"/>
      <c r="M26" s="720"/>
      <c r="N26" s="721"/>
      <c r="O26" s="718"/>
      <c r="P26" s="718"/>
      <c r="Q26" s="718"/>
      <c r="R26" s="722"/>
      <c r="S26" s="742"/>
      <c r="T26" s="724">
        <v>25</v>
      </c>
      <c r="U26" s="764">
        <f>SUM(E26:G26)/4</f>
        <v>12.5</v>
      </c>
      <c r="V26" s="753">
        <f t="shared" si="12"/>
        <v>0.5</v>
      </c>
      <c r="W26" s="743">
        <v>0.11</v>
      </c>
      <c r="X26" s="716">
        <v>0.1</v>
      </c>
      <c r="Y26" s="754"/>
      <c r="Z26" s="744"/>
      <c r="AA26" s="744"/>
      <c r="AB26" s="730" t="e">
        <f t="shared" si="0"/>
        <v>#DIV/0!</v>
      </c>
      <c r="AC26" s="731"/>
      <c r="AD26" s="732" t="e">
        <f t="shared" si="1"/>
        <v>#DIV/0!</v>
      </c>
      <c r="AE26" s="733">
        <f t="shared" si="2"/>
        <v>0</v>
      </c>
      <c r="AF26" s="733"/>
      <c r="AG26" s="733"/>
      <c r="AH26" s="734" t="e">
        <f t="shared" si="3"/>
        <v>#DIV/0!</v>
      </c>
      <c r="AI26" s="754">
        <v>271428571.42000002</v>
      </c>
      <c r="AJ26" s="735">
        <f t="shared" si="8"/>
        <v>0</v>
      </c>
      <c r="AK26" s="736">
        <f t="shared" si="4"/>
        <v>0</v>
      </c>
      <c r="AL26" s="737"/>
      <c r="AM26" s="738" t="s">
        <v>1317</v>
      </c>
      <c r="AN26" s="739" t="s">
        <v>634</v>
      </c>
      <c r="AO26" s="740" t="s">
        <v>1568</v>
      </c>
      <c r="AP26" s="741"/>
      <c r="AQ26" s="741"/>
    </row>
    <row r="27" spans="1:43" ht="48" customHeight="1">
      <c r="A27" s="710" t="s">
        <v>1575</v>
      </c>
      <c r="B27" s="711" t="s">
        <v>1576</v>
      </c>
      <c r="C27" s="762">
        <v>0</v>
      </c>
      <c r="D27" s="763">
        <v>1</v>
      </c>
      <c r="E27" s="762">
        <v>0</v>
      </c>
      <c r="F27" s="732">
        <v>1</v>
      </c>
      <c r="G27" s="715"/>
      <c r="H27" s="717" t="s">
        <v>1577</v>
      </c>
      <c r="I27" s="717">
        <f t="shared" si="13"/>
        <v>1</v>
      </c>
      <c r="J27" s="765" t="s">
        <v>1578</v>
      </c>
      <c r="K27" s="718"/>
      <c r="L27" s="719"/>
      <c r="M27" s="720"/>
      <c r="N27" s="721"/>
      <c r="O27" s="718"/>
      <c r="P27" s="718"/>
      <c r="Q27" s="718"/>
      <c r="R27" s="722"/>
      <c r="S27" s="742"/>
      <c r="T27" s="732">
        <v>1</v>
      </c>
      <c r="U27" s="752">
        <f>SUM(E27:G27)/3</f>
        <v>0.33333333333333331</v>
      </c>
      <c r="V27" s="753">
        <f t="shared" si="12"/>
        <v>0.33333333333333331</v>
      </c>
      <c r="W27" s="743">
        <v>0.05</v>
      </c>
      <c r="X27" s="716">
        <v>0.1</v>
      </c>
      <c r="Y27" s="754"/>
      <c r="Z27" s="744"/>
      <c r="AA27" s="744"/>
      <c r="AB27" s="730" t="e">
        <f t="shared" si="0"/>
        <v>#DIV/0!</v>
      </c>
      <c r="AC27" s="731"/>
      <c r="AD27" s="732" t="e">
        <f t="shared" si="1"/>
        <v>#DIV/0!</v>
      </c>
      <c r="AE27" s="733">
        <f t="shared" si="2"/>
        <v>0</v>
      </c>
      <c r="AF27" s="733"/>
      <c r="AG27" s="733"/>
      <c r="AH27" s="734" t="e">
        <f t="shared" si="3"/>
        <v>#DIV/0!</v>
      </c>
      <c r="AI27" s="754">
        <v>131428571.42</v>
      </c>
      <c r="AJ27" s="735">
        <f t="shared" si="8"/>
        <v>0</v>
      </c>
      <c r="AK27" s="736">
        <f t="shared" si="4"/>
        <v>0</v>
      </c>
      <c r="AL27" s="737"/>
      <c r="AM27" s="738" t="s">
        <v>1317</v>
      </c>
      <c r="AN27" s="739"/>
      <c r="AO27" s="740" t="s">
        <v>1568</v>
      </c>
      <c r="AP27" s="741"/>
      <c r="AQ27" s="741"/>
    </row>
    <row r="28" spans="1:43" ht="78" customHeight="1">
      <c r="A28" s="710" t="s">
        <v>1579</v>
      </c>
      <c r="B28" s="711" t="s">
        <v>1566</v>
      </c>
      <c r="C28" s="758">
        <v>0</v>
      </c>
      <c r="D28" s="759">
        <v>1</v>
      </c>
      <c r="E28" s="714">
        <v>0</v>
      </c>
      <c r="F28" s="715">
        <v>8</v>
      </c>
      <c r="G28" s="715"/>
      <c r="H28" s="717" t="s">
        <v>1577</v>
      </c>
      <c r="I28" s="717">
        <f t="shared" si="13"/>
        <v>1</v>
      </c>
      <c r="J28" s="718" t="s">
        <v>1580</v>
      </c>
      <c r="K28" s="718"/>
      <c r="L28" s="719"/>
      <c r="M28" s="720"/>
      <c r="N28" s="721"/>
      <c r="O28" s="718"/>
      <c r="P28" s="718"/>
      <c r="Q28" s="718"/>
      <c r="R28" s="722"/>
      <c r="S28" s="747"/>
      <c r="T28" s="724">
        <v>3</v>
      </c>
      <c r="U28" s="725">
        <f t="shared" si="9"/>
        <v>8</v>
      </c>
      <c r="V28" s="726">
        <f t="shared" si="12"/>
        <v>1</v>
      </c>
      <c r="W28" s="743">
        <v>0.16</v>
      </c>
      <c r="X28" s="716">
        <v>0.25</v>
      </c>
      <c r="Y28" s="754"/>
      <c r="Z28" s="744"/>
      <c r="AA28" s="744"/>
      <c r="AB28" s="730" t="e">
        <f t="shared" si="0"/>
        <v>#DIV/0!</v>
      </c>
      <c r="AC28" s="731"/>
      <c r="AD28" s="732" t="e">
        <f t="shared" si="1"/>
        <v>#DIV/0!</v>
      </c>
      <c r="AE28" s="733">
        <f t="shared" si="2"/>
        <v>0</v>
      </c>
      <c r="AF28" s="733"/>
      <c r="AG28" s="733"/>
      <c r="AH28" s="734" t="e">
        <f t="shared" si="3"/>
        <v>#DIV/0!</v>
      </c>
      <c r="AI28" s="754">
        <v>200000000</v>
      </c>
      <c r="AJ28" s="735">
        <f t="shared" si="8"/>
        <v>0</v>
      </c>
      <c r="AK28" s="736">
        <f t="shared" si="4"/>
        <v>0</v>
      </c>
      <c r="AL28" s="737"/>
      <c r="AM28" s="738" t="s">
        <v>1317</v>
      </c>
      <c r="AN28" s="739"/>
      <c r="AO28" s="740" t="s">
        <v>1568</v>
      </c>
      <c r="AP28" s="741"/>
      <c r="AQ28" s="741"/>
    </row>
    <row r="29" spans="1:43" ht="117" customHeight="1">
      <c r="A29" s="710" t="s">
        <v>1581</v>
      </c>
      <c r="B29" s="711" t="s">
        <v>1566</v>
      </c>
      <c r="C29" s="758">
        <v>1</v>
      </c>
      <c r="D29" s="759">
        <v>1</v>
      </c>
      <c r="E29" s="714">
        <v>1</v>
      </c>
      <c r="F29" s="715">
        <v>1</v>
      </c>
      <c r="G29" s="715"/>
      <c r="H29" s="717">
        <f t="shared" ref="H29" si="15">IF((E29+G29)/C29&gt;=100%,100%,(E29+G29)/C29)</f>
        <v>1</v>
      </c>
      <c r="I29" s="717">
        <f t="shared" si="13"/>
        <v>1</v>
      </c>
      <c r="J29" s="718" t="s">
        <v>1582</v>
      </c>
      <c r="K29" s="718"/>
      <c r="L29" s="719"/>
      <c r="M29" s="766"/>
      <c r="N29" s="721"/>
      <c r="O29" s="718"/>
      <c r="P29" s="718"/>
      <c r="Q29" s="718"/>
      <c r="R29" s="722"/>
      <c r="S29" s="747"/>
      <c r="T29" s="724">
        <v>4</v>
      </c>
      <c r="U29" s="725">
        <f t="shared" si="9"/>
        <v>2</v>
      </c>
      <c r="V29" s="726">
        <f t="shared" si="12"/>
        <v>0.5</v>
      </c>
      <c r="W29" s="743">
        <v>0.28999999999999998</v>
      </c>
      <c r="X29" s="716">
        <v>0.25</v>
      </c>
      <c r="Y29" s="754"/>
      <c r="Z29" s="744"/>
      <c r="AA29" s="744"/>
      <c r="AB29" s="730" t="e">
        <f t="shared" si="0"/>
        <v>#DIV/0!</v>
      </c>
      <c r="AC29" s="731"/>
      <c r="AD29" s="732" t="e">
        <f t="shared" si="1"/>
        <v>#DIV/0!</v>
      </c>
      <c r="AE29" s="733">
        <f t="shared" si="2"/>
        <v>0</v>
      </c>
      <c r="AF29" s="733"/>
      <c r="AG29" s="733"/>
      <c r="AH29" s="734" t="e">
        <f t="shared" si="3"/>
        <v>#DIV/0!</v>
      </c>
      <c r="AI29" s="754">
        <v>627714285.74000001</v>
      </c>
      <c r="AJ29" s="735">
        <f t="shared" si="8"/>
        <v>0</v>
      </c>
      <c r="AK29" s="736">
        <f t="shared" si="4"/>
        <v>0</v>
      </c>
      <c r="AL29" s="737"/>
      <c r="AM29" s="738" t="s">
        <v>1317</v>
      </c>
      <c r="AN29" s="739"/>
      <c r="AO29" s="740" t="s">
        <v>1538</v>
      </c>
      <c r="AP29" s="741"/>
      <c r="AQ29" s="741"/>
    </row>
    <row r="30" spans="1:43" s="709" customFormat="1" ht="58.5" customHeight="1">
      <c r="A30" s="687" t="s">
        <v>1583</v>
      </c>
      <c r="B30" s="688"/>
      <c r="C30" s="689"/>
      <c r="D30" s="690"/>
      <c r="E30" s="689"/>
      <c r="F30" s="691"/>
      <c r="G30" s="691"/>
      <c r="H30" s="693">
        <f>+(H34*50%)+(H35*50%)</f>
        <v>1</v>
      </c>
      <c r="I30" s="693">
        <f>+SUMPRODUCT(I31:I35,X31:X35)</f>
        <v>0.74375000000000002</v>
      </c>
      <c r="J30" s="694"/>
      <c r="K30" s="694"/>
      <c r="L30" s="694"/>
      <c r="M30" s="688"/>
      <c r="N30" s="688"/>
      <c r="O30" s="694"/>
      <c r="P30" s="694"/>
      <c r="Q30" s="694"/>
      <c r="R30" s="694"/>
      <c r="S30" s="695"/>
      <c r="T30" s="696"/>
      <c r="U30" s="697"/>
      <c r="V30" s="693">
        <f>+SUMPRODUCT(V31:V35,W31:W35)</f>
        <v>0.33466666666666661</v>
      </c>
      <c r="W30" s="693">
        <v>0.1</v>
      </c>
      <c r="X30" s="701">
        <v>0.1</v>
      </c>
      <c r="Y30" s="699">
        <v>200000000</v>
      </c>
      <c r="Z30" s="699">
        <f>SUM(Z31:Z35)</f>
        <v>0</v>
      </c>
      <c r="AA30" s="699">
        <v>156026664</v>
      </c>
      <c r="AB30" s="700">
        <f t="shared" si="0"/>
        <v>0.78013332000000002</v>
      </c>
      <c r="AC30" s="699">
        <v>150000000</v>
      </c>
      <c r="AD30" s="701">
        <f t="shared" si="1"/>
        <v>0.75</v>
      </c>
      <c r="AE30" s="702">
        <f t="shared" si="2"/>
        <v>6026664</v>
      </c>
      <c r="AF30" s="702"/>
      <c r="AG30" s="702"/>
      <c r="AH30" s="703" t="e">
        <f t="shared" si="3"/>
        <v>#DIV/0!</v>
      </c>
      <c r="AI30" s="699">
        <f>SUM(AI31:AI35)</f>
        <v>1000000000</v>
      </c>
      <c r="AJ30" s="699">
        <f>+SUM(Z30:AA30)</f>
        <v>156026664</v>
      </c>
      <c r="AK30" s="693">
        <f t="shared" si="4"/>
        <v>0.15602666400000001</v>
      </c>
      <c r="AL30" s="704"/>
      <c r="AM30" s="705" t="s">
        <v>1317</v>
      </c>
      <c r="AN30" s="706"/>
      <c r="AO30" s="707"/>
      <c r="AP30" s="708"/>
      <c r="AQ30" s="708"/>
    </row>
    <row r="31" spans="1:43" ht="51">
      <c r="A31" s="710" t="s">
        <v>1584</v>
      </c>
      <c r="B31" s="749" t="s">
        <v>1585</v>
      </c>
      <c r="C31" s="756">
        <v>0</v>
      </c>
      <c r="D31" s="757">
        <v>1</v>
      </c>
      <c r="E31" s="714">
        <v>0</v>
      </c>
      <c r="F31" s="715">
        <v>1</v>
      </c>
      <c r="G31" s="715"/>
      <c r="H31" s="717" t="s">
        <v>1577</v>
      </c>
      <c r="I31" s="716">
        <f>IF(F31/D31&gt;=100%,100%,F31/D31)</f>
        <v>1</v>
      </c>
      <c r="J31" s="718" t="s">
        <v>1586</v>
      </c>
      <c r="K31" s="718"/>
      <c r="L31" s="719"/>
      <c r="M31" s="720"/>
      <c r="N31" s="721"/>
      <c r="O31" s="718"/>
      <c r="P31" s="718"/>
      <c r="Q31" s="718"/>
      <c r="R31" s="722"/>
      <c r="S31" s="723"/>
      <c r="T31" s="724">
        <v>3</v>
      </c>
      <c r="U31" s="725">
        <f t="shared" si="9"/>
        <v>1</v>
      </c>
      <c r="V31" s="726">
        <f t="shared" si="12"/>
        <v>0.33333333333333331</v>
      </c>
      <c r="W31" s="760">
        <v>0.28999999999999998</v>
      </c>
      <c r="X31" s="716">
        <v>0.25</v>
      </c>
      <c r="Y31" s="754"/>
      <c r="Z31" s="729"/>
      <c r="AA31" s="729"/>
      <c r="AB31" s="730" t="e">
        <f t="shared" si="0"/>
        <v>#DIV/0!</v>
      </c>
      <c r="AC31" s="731"/>
      <c r="AD31" s="732" t="e">
        <f t="shared" si="1"/>
        <v>#DIV/0!</v>
      </c>
      <c r="AE31" s="733">
        <f t="shared" si="2"/>
        <v>0</v>
      </c>
      <c r="AF31" s="733"/>
      <c r="AG31" s="733"/>
      <c r="AH31" s="734" t="e">
        <f t="shared" si="3"/>
        <v>#DIV/0!</v>
      </c>
      <c r="AI31" s="754">
        <v>155000000</v>
      </c>
      <c r="AJ31" s="735">
        <f t="shared" si="8"/>
        <v>0</v>
      </c>
      <c r="AK31" s="736">
        <f t="shared" si="4"/>
        <v>0</v>
      </c>
      <c r="AL31" s="737"/>
      <c r="AM31" s="738" t="s">
        <v>1317</v>
      </c>
      <c r="AN31" s="739" t="s">
        <v>655</v>
      </c>
      <c r="AO31" s="740" t="s">
        <v>1587</v>
      </c>
      <c r="AP31" s="741"/>
      <c r="AQ31" s="741"/>
    </row>
    <row r="32" spans="1:43" ht="74.25" customHeight="1">
      <c r="A32" s="710" t="s">
        <v>1588</v>
      </c>
      <c r="B32" s="711" t="s">
        <v>1589</v>
      </c>
      <c r="C32" s="756">
        <v>0</v>
      </c>
      <c r="D32" s="757">
        <v>1</v>
      </c>
      <c r="E32" s="714">
        <v>0</v>
      </c>
      <c r="F32" s="715">
        <v>1</v>
      </c>
      <c r="G32" s="715"/>
      <c r="H32" s="717" t="s">
        <v>1577</v>
      </c>
      <c r="I32" s="716">
        <f>IF(F32/D32&gt;=100%,100%,F32/D32)</f>
        <v>1</v>
      </c>
      <c r="J32" s="718" t="s">
        <v>1590</v>
      </c>
      <c r="K32" s="718"/>
      <c r="L32" s="719"/>
      <c r="M32" s="720"/>
      <c r="N32" s="721"/>
      <c r="O32" s="718"/>
      <c r="P32" s="718"/>
      <c r="Q32" s="718"/>
      <c r="R32" s="722"/>
      <c r="S32" s="742"/>
      <c r="T32" s="724">
        <v>3</v>
      </c>
      <c r="U32" s="725">
        <f t="shared" si="9"/>
        <v>1</v>
      </c>
      <c r="V32" s="726">
        <f t="shared" si="12"/>
        <v>0.33333333333333331</v>
      </c>
      <c r="W32" s="743">
        <v>0.21</v>
      </c>
      <c r="X32" s="716">
        <v>0.25</v>
      </c>
      <c r="Y32" s="754"/>
      <c r="Z32" s="744"/>
      <c r="AA32" s="744"/>
      <c r="AB32" s="730" t="e">
        <f t="shared" si="0"/>
        <v>#DIV/0!</v>
      </c>
      <c r="AC32" s="731"/>
      <c r="AD32" s="732" t="e">
        <f t="shared" si="1"/>
        <v>#DIV/0!</v>
      </c>
      <c r="AE32" s="733">
        <f t="shared" si="2"/>
        <v>0</v>
      </c>
      <c r="AF32" s="733"/>
      <c r="AG32" s="733"/>
      <c r="AH32" s="734" t="e">
        <f t="shared" si="3"/>
        <v>#DIV/0!</v>
      </c>
      <c r="AI32" s="754">
        <v>530000000</v>
      </c>
      <c r="AJ32" s="735">
        <f t="shared" si="8"/>
        <v>0</v>
      </c>
      <c r="AK32" s="736">
        <f t="shared" si="4"/>
        <v>0</v>
      </c>
      <c r="AL32" s="737"/>
      <c r="AM32" s="738" t="s">
        <v>1318</v>
      </c>
      <c r="AN32" s="739" t="s">
        <v>655</v>
      </c>
      <c r="AO32" s="740" t="s">
        <v>1591</v>
      </c>
      <c r="AP32" s="741"/>
      <c r="AQ32" s="741"/>
    </row>
    <row r="33" spans="1:43" ht="38.25">
      <c r="A33" s="710" t="s">
        <v>1592</v>
      </c>
      <c r="B33" s="711" t="s">
        <v>1593</v>
      </c>
      <c r="C33" s="750">
        <v>0</v>
      </c>
      <c r="D33" s="743">
        <v>0</v>
      </c>
      <c r="E33" s="751">
        <v>0</v>
      </c>
      <c r="F33" s="732">
        <v>0</v>
      </c>
      <c r="G33" s="715"/>
      <c r="H33" s="717" t="s">
        <v>1577</v>
      </c>
      <c r="I33" s="717">
        <v>0</v>
      </c>
      <c r="J33" s="718"/>
      <c r="K33" s="718"/>
      <c r="L33" s="719"/>
      <c r="M33" s="720"/>
      <c r="N33" s="721"/>
      <c r="O33" s="718"/>
      <c r="P33" s="718"/>
      <c r="Q33" s="718"/>
      <c r="R33" s="722"/>
      <c r="S33" s="742"/>
      <c r="T33" s="732">
        <v>1</v>
      </c>
      <c r="U33" s="767">
        <f t="shared" si="9"/>
        <v>0</v>
      </c>
      <c r="V33" s="726">
        <f t="shared" si="12"/>
        <v>0</v>
      </c>
      <c r="W33" s="743">
        <v>7.0000000000000007E-2</v>
      </c>
      <c r="X33" s="716">
        <v>0</v>
      </c>
      <c r="Y33" s="768"/>
      <c r="Z33" s="744"/>
      <c r="AA33" s="744"/>
      <c r="AB33" s="730" t="e">
        <f t="shared" si="0"/>
        <v>#DIV/0!</v>
      </c>
      <c r="AC33" s="731"/>
      <c r="AD33" s="732" t="e">
        <f t="shared" si="1"/>
        <v>#DIV/0!</v>
      </c>
      <c r="AE33" s="733">
        <f t="shared" si="2"/>
        <v>0</v>
      </c>
      <c r="AF33" s="733"/>
      <c r="AG33" s="733"/>
      <c r="AH33" s="734" t="e">
        <f t="shared" si="3"/>
        <v>#DIV/0!</v>
      </c>
      <c r="AI33" s="768">
        <v>15000000</v>
      </c>
      <c r="AJ33" s="735">
        <f t="shared" si="8"/>
        <v>0</v>
      </c>
      <c r="AK33" s="736">
        <f t="shared" si="4"/>
        <v>0</v>
      </c>
      <c r="AL33" s="737"/>
      <c r="AM33" s="738"/>
      <c r="AN33" s="739" t="s">
        <v>655</v>
      </c>
      <c r="AO33" s="740" t="s">
        <v>1591</v>
      </c>
      <c r="AP33" s="741"/>
      <c r="AQ33" s="741"/>
    </row>
    <row r="34" spans="1:43" ht="71.25" customHeight="1">
      <c r="A34" s="710" t="s">
        <v>1594</v>
      </c>
      <c r="B34" s="711" t="s">
        <v>1595</v>
      </c>
      <c r="C34" s="750">
        <v>1</v>
      </c>
      <c r="D34" s="743">
        <v>1</v>
      </c>
      <c r="E34" s="751">
        <v>1</v>
      </c>
      <c r="F34" s="732">
        <v>0.85</v>
      </c>
      <c r="G34" s="715"/>
      <c r="H34" s="717">
        <f t="shared" ref="H34:H46" si="16">IF((E34+G34)/C34&gt;=100%,100%,(E34+G34)/C34)</f>
        <v>1</v>
      </c>
      <c r="I34" s="716">
        <f>IF(F34/D34&gt;=100%,100%,F34/D34)</f>
        <v>0.85</v>
      </c>
      <c r="J34" s="718" t="s">
        <v>1596</v>
      </c>
      <c r="K34" s="718"/>
      <c r="L34" s="719"/>
      <c r="M34" s="720"/>
      <c r="N34" s="721"/>
      <c r="O34" s="718"/>
      <c r="P34" s="718"/>
      <c r="Q34" s="718"/>
      <c r="R34" s="722"/>
      <c r="S34" s="742"/>
      <c r="T34" s="732">
        <v>1</v>
      </c>
      <c r="U34" s="752">
        <f>SUM(E34:G34)/4</f>
        <v>0.46250000000000002</v>
      </c>
      <c r="V34" s="753">
        <f t="shared" si="12"/>
        <v>0.46250000000000002</v>
      </c>
      <c r="W34" s="743">
        <v>0.24</v>
      </c>
      <c r="X34" s="716">
        <v>0.25</v>
      </c>
      <c r="Y34" s="754"/>
      <c r="Z34" s="744"/>
      <c r="AA34" s="744"/>
      <c r="AB34" s="730" t="e">
        <f t="shared" si="0"/>
        <v>#DIV/0!</v>
      </c>
      <c r="AC34" s="731"/>
      <c r="AD34" s="732" t="e">
        <f t="shared" si="1"/>
        <v>#DIV/0!</v>
      </c>
      <c r="AE34" s="733">
        <f t="shared" si="2"/>
        <v>0</v>
      </c>
      <c r="AF34" s="733"/>
      <c r="AG34" s="733"/>
      <c r="AH34" s="734" t="e">
        <f t="shared" si="3"/>
        <v>#DIV/0!</v>
      </c>
      <c r="AI34" s="754">
        <v>130000000</v>
      </c>
      <c r="AJ34" s="735">
        <f t="shared" si="8"/>
        <v>0</v>
      </c>
      <c r="AK34" s="736">
        <f t="shared" si="4"/>
        <v>0</v>
      </c>
      <c r="AL34" s="737"/>
      <c r="AM34" s="738" t="s">
        <v>1317</v>
      </c>
      <c r="AN34" s="739" t="s">
        <v>655</v>
      </c>
      <c r="AO34" s="740" t="s">
        <v>1591</v>
      </c>
      <c r="AP34" s="741"/>
      <c r="AQ34" s="741"/>
    </row>
    <row r="35" spans="1:43" ht="38.25">
      <c r="A35" s="710" t="s">
        <v>1597</v>
      </c>
      <c r="B35" s="711" t="s">
        <v>1598</v>
      </c>
      <c r="C35" s="750">
        <v>0.2</v>
      </c>
      <c r="D35" s="743">
        <v>0.8</v>
      </c>
      <c r="E35" s="751">
        <v>0.2</v>
      </c>
      <c r="F35" s="732">
        <v>0.1</v>
      </c>
      <c r="G35" s="715"/>
      <c r="H35" s="717">
        <f t="shared" si="16"/>
        <v>1</v>
      </c>
      <c r="I35" s="717">
        <f>IF(F35/D35&gt;=100%,100%,F35/D35)</f>
        <v>0.125</v>
      </c>
      <c r="J35" s="718" t="s">
        <v>1599</v>
      </c>
      <c r="K35" s="718"/>
      <c r="L35" s="719"/>
      <c r="M35" s="720"/>
      <c r="N35" s="721"/>
      <c r="O35" s="718"/>
      <c r="P35" s="718"/>
      <c r="Q35" s="718"/>
      <c r="R35" s="722"/>
      <c r="S35" s="742"/>
      <c r="T35" s="732">
        <v>1</v>
      </c>
      <c r="U35" s="752">
        <f t="shared" si="9"/>
        <v>0.30000000000000004</v>
      </c>
      <c r="V35" s="726">
        <f t="shared" si="12"/>
        <v>0.30000000000000004</v>
      </c>
      <c r="W35" s="743">
        <v>0.19</v>
      </c>
      <c r="X35" s="716">
        <v>0.25</v>
      </c>
      <c r="Y35" s="754"/>
      <c r="Z35" s="744"/>
      <c r="AA35" s="744"/>
      <c r="AB35" s="730" t="e">
        <f t="shared" si="0"/>
        <v>#DIV/0!</v>
      </c>
      <c r="AC35" s="731"/>
      <c r="AD35" s="732" t="e">
        <f t="shared" si="1"/>
        <v>#DIV/0!</v>
      </c>
      <c r="AE35" s="733">
        <f t="shared" si="2"/>
        <v>0</v>
      </c>
      <c r="AF35" s="733"/>
      <c r="AG35" s="733"/>
      <c r="AH35" s="734" t="e">
        <f t="shared" si="3"/>
        <v>#DIV/0!</v>
      </c>
      <c r="AI35" s="754">
        <v>170000000</v>
      </c>
      <c r="AJ35" s="735">
        <f t="shared" si="8"/>
        <v>0</v>
      </c>
      <c r="AK35" s="736">
        <f t="shared" si="4"/>
        <v>0</v>
      </c>
      <c r="AL35" s="737"/>
      <c r="AM35" s="738" t="s">
        <v>1317</v>
      </c>
      <c r="AN35" s="739"/>
      <c r="AO35" s="740" t="s">
        <v>1591</v>
      </c>
      <c r="AP35" s="741"/>
      <c r="AQ35" s="741"/>
    </row>
    <row r="36" spans="1:43" s="709" customFormat="1" ht="45.75" customHeight="1">
      <c r="A36" s="687" t="s">
        <v>1600</v>
      </c>
      <c r="B36" s="688"/>
      <c r="C36" s="689"/>
      <c r="D36" s="690"/>
      <c r="E36" s="689"/>
      <c r="F36" s="691"/>
      <c r="G36" s="691"/>
      <c r="H36" s="693">
        <f>+(H37*20%)+(H39*20%)+(H40*30%)+(H41*30%)</f>
        <v>1</v>
      </c>
      <c r="I36" s="693">
        <f>+SUMPRODUCT(I37:I41,X37:X41)</f>
        <v>0.54999999999999993</v>
      </c>
      <c r="J36" s="694"/>
      <c r="K36" s="694"/>
      <c r="L36" s="769"/>
      <c r="M36" s="769"/>
      <c r="N36" s="769"/>
      <c r="O36" s="694"/>
      <c r="P36" s="694"/>
      <c r="Q36" s="694"/>
      <c r="R36" s="770"/>
      <c r="S36" s="771"/>
      <c r="T36" s="696"/>
      <c r="U36" s="697"/>
      <c r="V36" s="676">
        <f>+SUMPRODUCT(V37:V41,W37:W41)</f>
        <v>0.47055555555555556</v>
      </c>
      <c r="W36" s="693">
        <v>0.2</v>
      </c>
      <c r="X36" s="693">
        <v>0.2</v>
      </c>
      <c r="Y36" s="699">
        <v>800000000</v>
      </c>
      <c r="Z36" s="699">
        <v>415981055</v>
      </c>
      <c r="AA36" s="699">
        <v>128008583</v>
      </c>
      <c r="AB36" s="700">
        <f t="shared" si="0"/>
        <v>0.16001072875</v>
      </c>
      <c r="AC36" s="699">
        <v>100008583</v>
      </c>
      <c r="AD36" s="701">
        <f t="shared" si="1"/>
        <v>0.12501072874999999</v>
      </c>
      <c r="AE36" s="702">
        <f t="shared" si="2"/>
        <v>28000000</v>
      </c>
      <c r="AF36" s="702">
        <v>35000000</v>
      </c>
      <c r="AG36" s="702">
        <v>35000000</v>
      </c>
      <c r="AH36" s="703">
        <f t="shared" si="3"/>
        <v>1</v>
      </c>
      <c r="AI36" s="699">
        <f>SUM(AI37:AI41)</f>
        <v>1700000000</v>
      </c>
      <c r="AJ36" s="699">
        <f>+SUM(Z36:AA36)</f>
        <v>543989638</v>
      </c>
      <c r="AK36" s="693">
        <f t="shared" si="4"/>
        <v>0.31999390470588235</v>
      </c>
      <c r="AL36" s="704"/>
      <c r="AM36" s="705" t="s">
        <v>1317</v>
      </c>
      <c r="AN36" s="706"/>
      <c r="AO36" s="707"/>
      <c r="AP36" s="708"/>
      <c r="AQ36" s="708"/>
    </row>
    <row r="37" spans="1:43" ht="93" customHeight="1">
      <c r="A37" s="710" t="s">
        <v>1601</v>
      </c>
      <c r="B37" s="711" t="s">
        <v>1602</v>
      </c>
      <c r="C37" s="756">
        <v>1</v>
      </c>
      <c r="D37" s="757">
        <v>2</v>
      </c>
      <c r="E37" s="714">
        <v>1</v>
      </c>
      <c r="F37" s="715">
        <v>1</v>
      </c>
      <c r="G37" s="715"/>
      <c r="H37" s="717">
        <f t="shared" si="16"/>
        <v>1</v>
      </c>
      <c r="I37" s="717">
        <f>IF(F37/D37&gt;=100%,100%,F37/D37)</f>
        <v>0.5</v>
      </c>
      <c r="J37" s="718" t="s">
        <v>1603</v>
      </c>
      <c r="K37" s="718"/>
      <c r="L37" s="719"/>
      <c r="M37" s="720"/>
      <c r="N37" s="721"/>
      <c r="O37" s="718"/>
      <c r="P37" s="718"/>
      <c r="Q37" s="718"/>
      <c r="R37" s="722"/>
      <c r="S37" s="747"/>
      <c r="T37" s="724">
        <v>6</v>
      </c>
      <c r="U37" s="725">
        <f>SUM(E37:G37)</f>
        <v>2</v>
      </c>
      <c r="V37" s="726">
        <f>IF(U37/T37&gt;=100%,100%,U37/T37)</f>
        <v>0.33333333333333331</v>
      </c>
      <c r="W37" s="743">
        <v>0.4</v>
      </c>
      <c r="X37" s="716">
        <v>0.5</v>
      </c>
      <c r="Y37" s="754"/>
      <c r="Z37" s="744"/>
      <c r="AA37" s="744"/>
      <c r="AB37" s="730" t="e">
        <f t="shared" si="0"/>
        <v>#DIV/0!</v>
      </c>
      <c r="AC37" s="731"/>
      <c r="AD37" s="732" t="e">
        <f t="shared" si="1"/>
        <v>#DIV/0!</v>
      </c>
      <c r="AE37" s="733">
        <f t="shared" si="2"/>
        <v>0</v>
      </c>
      <c r="AF37" s="733"/>
      <c r="AG37" s="733"/>
      <c r="AH37" s="734" t="e">
        <f t="shared" si="3"/>
        <v>#DIV/0!</v>
      </c>
      <c r="AI37" s="754">
        <v>1230000000</v>
      </c>
      <c r="AJ37" s="735">
        <f t="shared" si="8"/>
        <v>0</v>
      </c>
      <c r="AK37" s="772">
        <f t="shared" si="4"/>
        <v>0</v>
      </c>
      <c r="AL37" s="737"/>
      <c r="AM37" s="738" t="s">
        <v>1317</v>
      </c>
      <c r="AN37" s="739" t="s">
        <v>314</v>
      </c>
      <c r="AO37" s="1264" t="s">
        <v>1604</v>
      </c>
      <c r="AP37" s="741"/>
      <c r="AQ37" s="741"/>
    </row>
    <row r="38" spans="1:43" ht="82.5" customHeight="1">
      <c r="A38" s="773" t="s">
        <v>1605</v>
      </c>
      <c r="B38" s="711" t="s">
        <v>1606</v>
      </c>
      <c r="C38" s="756">
        <v>0</v>
      </c>
      <c r="D38" s="757">
        <v>1</v>
      </c>
      <c r="E38" s="714">
        <v>0</v>
      </c>
      <c r="F38" s="715">
        <v>0</v>
      </c>
      <c r="G38" s="715"/>
      <c r="H38" s="717" t="s">
        <v>1577</v>
      </c>
      <c r="I38" s="717">
        <f>IF(F38/D38&gt;=100%,100%,F38/D38)</f>
        <v>0</v>
      </c>
      <c r="J38" s="718" t="s">
        <v>1607</v>
      </c>
      <c r="K38" s="718"/>
      <c r="L38" s="719"/>
      <c r="M38" s="720"/>
      <c r="N38" s="721"/>
      <c r="O38" s="718"/>
      <c r="P38" s="718"/>
      <c r="Q38" s="718"/>
      <c r="R38" s="722"/>
      <c r="S38" s="747"/>
      <c r="T38" s="724">
        <v>1</v>
      </c>
      <c r="U38" s="725">
        <f>SUM(E38:G38)</f>
        <v>0</v>
      </c>
      <c r="V38" s="726">
        <f>IF(U38/T38&gt;=100%,100%,U38/T38)</f>
        <v>0</v>
      </c>
      <c r="W38" s="743">
        <v>0.05</v>
      </c>
      <c r="X38" s="716">
        <v>0.2</v>
      </c>
      <c r="Y38" s="754"/>
      <c r="Z38" s="744"/>
      <c r="AA38" s="744"/>
      <c r="AB38" s="730" t="e">
        <f t="shared" si="0"/>
        <v>#DIV/0!</v>
      </c>
      <c r="AC38" s="731"/>
      <c r="AD38" s="732" t="e">
        <f t="shared" si="1"/>
        <v>#DIV/0!</v>
      </c>
      <c r="AE38" s="733">
        <f t="shared" si="2"/>
        <v>0</v>
      </c>
      <c r="AF38" s="733"/>
      <c r="AG38" s="733"/>
      <c r="AH38" s="734" t="e">
        <f t="shared" si="3"/>
        <v>#DIV/0!</v>
      </c>
      <c r="AI38" s="754">
        <v>20000000</v>
      </c>
      <c r="AJ38" s="735">
        <f t="shared" si="8"/>
        <v>0</v>
      </c>
      <c r="AK38" s="772">
        <f t="shared" si="4"/>
        <v>0</v>
      </c>
      <c r="AL38" s="737"/>
      <c r="AM38" s="738" t="s">
        <v>1317</v>
      </c>
      <c r="AN38" s="739"/>
      <c r="AO38" s="1266"/>
      <c r="AP38" s="741"/>
      <c r="AQ38" s="741"/>
    </row>
    <row r="39" spans="1:43" ht="82.5" customHeight="1">
      <c r="A39" s="710" t="s">
        <v>1608</v>
      </c>
      <c r="B39" s="711" t="s">
        <v>1609</v>
      </c>
      <c r="C39" s="756">
        <v>1</v>
      </c>
      <c r="D39" s="757">
        <v>1</v>
      </c>
      <c r="E39" s="714">
        <v>1</v>
      </c>
      <c r="F39" s="715">
        <v>1</v>
      </c>
      <c r="G39" s="715"/>
      <c r="H39" s="717">
        <f t="shared" si="16"/>
        <v>1</v>
      </c>
      <c r="I39" s="717">
        <f>IF(F39/D39&gt;=100%,100%,F39/D39)</f>
        <v>1</v>
      </c>
      <c r="J39" s="718" t="s">
        <v>1610</v>
      </c>
      <c r="K39" s="718"/>
      <c r="L39" s="719"/>
      <c r="M39" s="720"/>
      <c r="N39" s="721"/>
      <c r="O39" s="718"/>
      <c r="P39" s="718"/>
      <c r="Q39" s="718"/>
      <c r="R39" s="722"/>
      <c r="S39" s="718"/>
      <c r="T39" s="724">
        <v>3</v>
      </c>
      <c r="U39" s="764">
        <f>SUM(E39:G39)/3</f>
        <v>0.66666666666666663</v>
      </c>
      <c r="V39" s="753">
        <f>IF(U39/T39&gt;=100%,100%,U39/T39)</f>
        <v>0.22222222222222221</v>
      </c>
      <c r="W39" s="774">
        <v>0.1</v>
      </c>
      <c r="X39" s="716">
        <v>0.1</v>
      </c>
      <c r="Y39" s="754"/>
      <c r="Z39" s="744"/>
      <c r="AA39" s="744"/>
      <c r="AB39" s="730" t="e">
        <f t="shared" si="0"/>
        <v>#DIV/0!</v>
      </c>
      <c r="AC39" s="731"/>
      <c r="AD39" s="732" t="e">
        <f t="shared" si="1"/>
        <v>#DIV/0!</v>
      </c>
      <c r="AE39" s="733">
        <f t="shared" si="2"/>
        <v>0</v>
      </c>
      <c r="AF39" s="733"/>
      <c r="AG39" s="733"/>
      <c r="AH39" s="734" t="e">
        <f t="shared" si="3"/>
        <v>#DIV/0!</v>
      </c>
      <c r="AI39" s="754">
        <v>173000000</v>
      </c>
      <c r="AJ39" s="735">
        <f t="shared" si="8"/>
        <v>0</v>
      </c>
      <c r="AK39" s="772">
        <f t="shared" si="4"/>
        <v>0</v>
      </c>
      <c r="AL39" s="737"/>
      <c r="AM39" s="738" t="s">
        <v>1317</v>
      </c>
      <c r="AN39" s="739"/>
      <c r="AO39" s="1264" t="s">
        <v>1611</v>
      </c>
      <c r="AP39" s="741"/>
      <c r="AQ39" s="741"/>
    </row>
    <row r="40" spans="1:43" ht="109.5" customHeight="1">
      <c r="A40" s="773" t="s">
        <v>1612</v>
      </c>
      <c r="B40" s="711" t="s">
        <v>1613</v>
      </c>
      <c r="C40" s="775">
        <v>1</v>
      </c>
      <c r="D40" s="776">
        <v>1</v>
      </c>
      <c r="E40" s="714">
        <v>1</v>
      </c>
      <c r="F40" s="715">
        <v>4</v>
      </c>
      <c r="G40" s="715"/>
      <c r="H40" s="717">
        <f t="shared" si="16"/>
        <v>1</v>
      </c>
      <c r="I40" s="717">
        <f>IF(F40/D40&gt;=100%,100%,F40/D40)</f>
        <v>1</v>
      </c>
      <c r="J40" s="718" t="s">
        <v>1614</v>
      </c>
      <c r="K40" s="718"/>
      <c r="L40" s="719"/>
      <c r="M40" s="766"/>
      <c r="N40" s="721"/>
      <c r="O40" s="718"/>
      <c r="P40" s="718"/>
      <c r="Q40" s="718"/>
      <c r="R40" s="722"/>
      <c r="S40" s="718"/>
      <c r="T40" s="724">
        <v>4</v>
      </c>
      <c r="U40" s="725">
        <f>SUM(E40:G40)</f>
        <v>5</v>
      </c>
      <c r="V40" s="726">
        <f>IF(U40/T40&gt;=100%,100%,U40/T40)</f>
        <v>1</v>
      </c>
      <c r="W40" s="743">
        <v>0.18</v>
      </c>
      <c r="X40" s="716">
        <v>0.1</v>
      </c>
      <c r="Y40" s="754"/>
      <c r="Z40" s="744"/>
      <c r="AA40" s="744"/>
      <c r="AB40" s="730" t="e">
        <f t="shared" si="0"/>
        <v>#DIV/0!</v>
      </c>
      <c r="AC40" s="731"/>
      <c r="AD40" s="732" t="e">
        <f t="shared" si="1"/>
        <v>#DIV/0!</v>
      </c>
      <c r="AE40" s="733">
        <f t="shared" si="2"/>
        <v>0</v>
      </c>
      <c r="AF40" s="733"/>
      <c r="AG40" s="733"/>
      <c r="AH40" s="734" t="e">
        <f t="shared" si="3"/>
        <v>#DIV/0!</v>
      </c>
      <c r="AI40" s="754">
        <v>130000000</v>
      </c>
      <c r="AJ40" s="735">
        <f t="shared" si="8"/>
        <v>0</v>
      </c>
      <c r="AK40" s="772">
        <f t="shared" si="4"/>
        <v>0</v>
      </c>
      <c r="AL40" s="737"/>
      <c r="AM40" s="738" t="s">
        <v>1317</v>
      </c>
      <c r="AN40" s="739"/>
      <c r="AO40" s="1266"/>
      <c r="AP40" s="741"/>
      <c r="AQ40" s="741"/>
    </row>
    <row r="41" spans="1:43" ht="82.5" customHeight="1">
      <c r="A41" s="710" t="s">
        <v>1615</v>
      </c>
      <c r="B41" s="711" t="s">
        <v>1616</v>
      </c>
      <c r="C41" s="750">
        <v>1</v>
      </c>
      <c r="D41" s="743">
        <v>1</v>
      </c>
      <c r="E41" s="743">
        <v>1</v>
      </c>
      <c r="F41" s="743">
        <v>1</v>
      </c>
      <c r="G41" s="715"/>
      <c r="H41" s="717">
        <f t="shared" si="16"/>
        <v>1</v>
      </c>
      <c r="I41" s="717">
        <f>IF(F41/D41&gt;=100%,100%,F41/D41)</f>
        <v>1</v>
      </c>
      <c r="J41" s="718" t="s">
        <v>1617</v>
      </c>
      <c r="K41" s="718"/>
      <c r="L41" s="719"/>
      <c r="M41" s="766"/>
      <c r="N41" s="721"/>
      <c r="O41" s="718"/>
      <c r="P41" s="718"/>
      <c r="Q41" s="718"/>
      <c r="R41" s="722"/>
      <c r="S41" s="747"/>
      <c r="T41" s="732">
        <v>1</v>
      </c>
      <c r="U41" s="752">
        <f>SUM(E41:G41)/4</f>
        <v>0.5</v>
      </c>
      <c r="V41" s="753">
        <f>IF(U41/T41&gt;=100%,100%,U41/T41)</f>
        <v>0.5</v>
      </c>
      <c r="W41" s="743">
        <v>0.27</v>
      </c>
      <c r="X41" s="716">
        <v>0.1</v>
      </c>
      <c r="Y41" s="754"/>
      <c r="Z41" s="744"/>
      <c r="AA41" s="744"/>
      <c r="AB41" s="730" t="e">
        <f t="shared" si="0"/>
        <v>#DIV/0!</v>
      </c>
      <c r="AC41" s="731"/>
      <c r="AD41" s="732" t="e">
        <f t="shared" si="1"/>
        <v>#DIV/0!</v>
      </c>
      <c r="AE41" s="733">
        <f t="shared" si="2"/>
        <v>0</v>
      </c>
      <c r="AF41" s="733"/>
      <c r="AG41" s="733"/>
      <c r="AH41" s="734" t="e">
        <f t="shared" si="3"/>
        <v>#DIV/0!</v>
      </c>
      <c r="AI41" s="754">
        <v>147000000</v>
      </c>
      <c r="AJ41" s="735">
        <f t="shared" si="8"/>
        <v>0</v>
      </c>
      <c r="AK41" s="736">
        <f t="shared" si="4"/>
        <v>0</v>
      </c>
      <c r="AL41" s="737"/>
      <c r="AM41" s="738" t="s">
        <v>1317</v>
      </c>
      <c r="AN41" s="739"/>
      <c r="AO41" s="740" t="s">
        <v>1591</v>
      </c>
      <c r="AP41" s="741"/>
      <c r="AQ41" s="741"/>
    </row>
    <row r="42" spans="1:43" s="709" customFormat="1" ht="64.5" customHeight="1">
      <c r="A42" s="687" t="s">
        <v>1618</v>
      </c>
      <c r="B42" s="688"/>
      <c r="C42" s="689"/>
      <c r="D42" s="690"/>
      <c r="E42" s="689"/>
      <c r="F42" s="691"/>
      <c r="G42" s="691"/>
      <c r="H42" s="692">
        <f>+(H43*10%)+(H44*20%)+(H46*50%)+(H49*10%)+(H50*5%)+(H51*5%)</f>
        <v>1</v>
      </c>
      <c r="I42" s="693">
        <f>+SUMPRODUCT(I43:I51,X43:X51)</f>
        <v>0.79500000000000004</v>
      </c>
      <c r="J42" s="694"/>
      <c r="K42" s="694"/>
      <c r="L42" s="769"/>
      <c r="M42" s="769"/>
      <c r="N42" s="769"/>
      <c r="O42" s="694"/>
      <c r="P42" s="694"/>
      <c r="Q42" s="694"/>
      <c r="R42" s="770"/>
      <c r="S42" s="771"/>
      <c r="T42" s="696"/>
      <c r="U42" s="697"/>
      <c r="V42" s="676">
        <f>+SUMPRODUCT(V43:V51,W43:W51)</f>
        <v>0.55928571428571427</v>
      </c>
      <c r="W42" s="693">
        <v>0.2</v>
      </c>
      <c r="X42" s="693">
        <v>0.2</v>
      </c>
      <c r="Y42" s="699">
        <v>3300000000</v>
      </c>
      <c r="Z42" s="699">
        <v>1958460418</v>
      </c>
      <c r="AA42" s="699">
        <v>3293912195</v>
      </c>
      <c r="AB42" s="700">
        <f t="shared" si="0"/>
        <v>0.99815521060606061</v>
      </c>
      <c r="AC42" s="699">
        <v>2793967479.1999998</v>
      </c>
      <c r="AD42" s="701">
        <f t="shared" si="1"/>
        <v>0.84665681187878783</v>
      </c>
      <c r="AE42" s="702">
        <f t="shared" si="2"/>
        <v>499944715.80000019</v>
      </c>
      <c r="AF42" s="702">
        <v>1272442749</v>
      </c>
      <c r="AG42" s="702">
        <v>400000000</v>
      </c>
      <c r="AH42" s="703">
        <f t="shared" si="3"/>
        <v>0.31435598993695862</v>
      </c>
      <c r="AI42" s="699">
        <f>SUM(AI43:AI51)</f>
        <v>10100000000.5</v>
      </c>
      <c r="AJ42" s="699">
        <f>+SUM(Z42:AA42)</f>
        <v>5252372613</v>
      </c>
      <c r="AK42" s="693">
        <f t="shared" si="4"/>
        <v>0.52003689235049322</v>
      </c>
      <c r="AL42" s="704"/>
      <c r="AM42" s="705" t="s">
        <v>1317</v>
      </c>
      <c r="AN42" s="706"/>
      <c r="AO42" s="707"/>
      <c r="AP42" s="708"/>
      <c r="AQ42" s="708"/>
    </row>
    <row r="43" spans="1:43" ht="64.5" customHeight="1">
      <c r="A43" s="773" t="s">
        <v>1619</v>
      </c>
      <c r="B43" s="711" t="s">
        <v>1620</v>
      </c>
      <c r="C43" s="777">
        <v>1</v>
      </c>
      <c r="D43" s="757">
        <v>0</v>
      </c>
      <c r="E43" s="714">
        <v>1</v>
      </c>
      <c r="F43" s="715">
        <v>0</v>
      </c>
      <c r="G43" s="715"/>
      <c r="H43" s="717">
        <f t="shared" si="16"/>
        <v>1</v>
      </c>
      <c r="I43" s="717">
        <v>0</v>
      </c>
      <c r="J43" s="718"/>
      <c r="K43" s="718"/>
      <c r="L43" s="719"/>
      <c r="M43" s="720"/>
      <c r="N43" s="721"/>
      <c r="O43" s="718"/>
      <c r="P43" s="718"/>
      <c r="Q43" s="718"/>
      <c r="R43" s="722"/>
      <c r="S43" s="747"/>
      <c r="T43" s="724">
        <v>1</v>
      </c>
      <c r="U43" s="725">
        <f>SUM(E43:G43)</f>
        <v>1</v>
      </c>
      <c r="V43" s="726">
        <f>IF(U43/T43&gt;=100%,100%,U43/T43)</f>
        <v>1</v>
      </c>
      <c r="W43" s="743">
        <v>0.03</v>
      </c>
      <c r="X43" s="716">
        <v>0</v>
      </c>
      <c r="Y43" s="768">
        <v>0</v>
      </c>
      <c r="Z43" s="744"/>
      <c r="AA43" s="744"/>
      <c r="AB43" s="730" t="e">
        <f t="shared" si="0"/>
        <v>#DIV/0!</v>
      </c>
      <c r="AC43" s="731"/>
      <c r="AD43" s="732" t="e">
        <f t="shared" si="1"/>
        <v>#DIV/0!</v>
      </c>
      <c r="AE43" s="733">
        <f t="shared" si="2"/>
        <v>0</v>
      </c>
      <c r="AF43" s="733"/>
      <c r="AG43" s="733"/>
      <c r="AH43" s="734" t="e">
        <f t="shared" si="3"/>
        <v>#DIV/0!</v>
      </c>
      <c r="AI43" s="768">
        <v>100000000</v>
      </c>
      <c r="AJ43" s="735">
        <f t="shared" si="8"/>
        <v>0</v>
      </c>
      <c r="AK43" s="772">
        <f t="shared" si="4"/>
        <v>0</v>
      </c>
      <c r="AL43" s="737"/>
      <c r="AM43" s="738"/>
      <c r="AN43" s="739"/>
      <c r="AO43" s="1264" t="s">
        <v>1591</v>
      </c>
      <c r="AP43" s="741"/>
      <c r="AQ43" s="741"/>
    </row>
    <row r="44" spans="1:43" ht="216.75">
      <c r="A44" s="773" t="s">
        <v>1621</v>
      </c>
      <c r="B44" s="711" t="s">
        <v>1622</v>
      </c>
      <c r="C44" s="756">
        <v>1</v>
      </c>
      <c r="D44" s="757">
        <v>1</v>
      </c>
      <c r="E44" s="714">
        <v>1</v>
      </c>
      <c r="F44" s="715">
        <v>1</v>
      </c>
      <c r="G44" s="715"/>
      <c r="H44" s="717">
        <f t="shared" si="16"/>
        <v>1</v>
      </c>
      <c r="I44" s="717">
        <f t="shared" ref="I44:I49" si="17">IF(F44/D44&gt;=100%,100%,F44/D44)</f>
        <v>1</v>
      </c>
      <c r="J44" s="718" t="s">
        <v>1623</v>
      </c>
      <c r="K44" s="718"/>
      <c r="L44" s="719"/>
      <c r="M44" s="720"/>
      <c r="N44" s="721"/>
      <c r="O44" s="718"/>
      <c r="P44" s="718"/>
      <c r="Q44" s="718"/>
      <c r="R44" s="722"/>
      <c r="S44" s="747"/>
      <c r="T44" s="724">
        <v>1</v>
      </c>
      <c r="U44" s="764">
        <f>SUM(E44:G44)/4</f>
        <v>0.5</v>
      </c>
      <c r="V44" s="726">
        <f t="shared" ref="V44:V51" si="18">IF(U44/T44&gt;=100%,100%,U44/T44)</f>
        <v>0.5</v>
      </c>
      <c r="W44" s="743">
        <v>0.12</v>
      </c>
      <c r="X44" s="716">
        <v>0.1</v>
      </c>
      <c r="Y44" s="754"/>
      <c r="Z44" s="744"/>
      <c r="AA44" s="744"/>
      <c r="AB44" s="730" t="e">
        <f t="shared" si="0"/>
        <v>#DIV/0!</v>
      </c>
      <c r="AC44" s="731"/>
      <c r="AD44" s="732" t="e">
        <f t="shared" si="1"/>
        <v>#DIV/0!</v>
      </c>
      <c r="AE44" s="733">
        <f t="shared" si="2"/>
        <v>0</v>
      </c>
      <c r="AF44" s="733"/>
      <c r="AG44" s="733"/>
      <c r="AH44" s="734" t="e">
        <f t="shared" si="3"/>
        <v>#DIV/0!</v>
      </c>
      <c r="AI44" s="754">
        <v>1750000000.5</v>
      </c>
      <c r="AJ44" s="735">
        <f t="shared" si="8"/>
        <v>0</v>
      </c>
      <c r="AK44" s="772">
        <f t="shared" si="4"/>
        <v>0</v>
      </c>
      <c r="AL44" s="737"/>
      <c r="AM44" s="738" t="s">
        <v>1317</v>
      </c>
      <c r="AN44" s="739"/>
      <c r="AO44" s="1265"/>
      <c r="AP44" s="741"/>
      <c r="AQ44" s="741"/>
    </row>
    <row r="45" spans="1:43" ht="94.5" customHeight="1">
      <c r="A45" s="778" t="s">
        <v>1624</v>
      </c>
      <c r="B45" s="711" t="s">
        <v>1625</v>
      </c>
      <c r="C45" s="756">
        <v>0</v>
      </c>
      <c r="D45" s="757">
        <v>1</v>
      </c>
      <c r="E45" s="714">
        <v>0</v>
      </c>
      <c r="F45" s="746">
        <v>0</v>
      </c>
      <c r="G45" s="715"/>
      <c r="H45" s="717" t="s">
        <v>1577</v>
      </c>
      <c r="I45" s="717">
        <f t="shared" si="17"/>
        <v>0</v>
      </c>
      <c r="J45" s="718" t="s">
        <v>1626</v>
      </c>
      <c r="K45" s="718"/>
      <c r="L45" s="719"/>
      <c r="M45" s="720"/>
      <c r="N45" s="721"/>
      <c r="O45" s="718"/>
      <c r="P45" s="718"/>
      <c r="Q45" s="718"/>
      <c r="R45" s="722"/>
      <c r="S45" s="718"/>
      <c r="T45" s="724">
        <v>1</v>
      </c>
      <c r="U45" s="725">
        <f>SUM(E45:G45)</f>
        <v>0</v>
      </c>
      <c r="V45" s="726">
        <f t="shared" si="18"/>
        <v>0</v>
      </c>
      <c r="W45" s="743">
        <v>0.04</v>
      </c>
      <c r="X45" s="716">
        <v>0.05</v>
      </c>
      <c r="Y45" s="754"/>
      <c r="Z45" s="744"/>
      <c r="AA45" s="744"/>
      <c r="AB45" s="730" t="e">
        <f t="shared" si="0"/>
        <v>#DIV/0!</v>
      </c>
      <c r="AC45" s="731"/>
      <c r="AD45" s="732" t="e">
        <f t="shared" si="1"/>
        <v>#DIV/0!</v>
      </c>
      <c r="AE45" s="733">
        <f t="shared" si="2"/>
        <v>0</v>
      </c>
      <c r="AF45" s="733"/>
      <c r="AG45" s="733"/>
      <c r="AH45" s="734" t="e">
        <f t="shared" si="3"/>
        <v>#DIV/0!</v>
      </c>
      <c r="AI45" s="754">
        <v>550000000</v>
      </c>
      <c r="AJ45" s="735">
        <f t="shared" si="8"/>
        <v>0</v>
      </c>
      <c r="AK45" s="772">
        <f t="shared" si="4"/>
        <v>0</v>
      </c>
      <c r="AL45" s="737"/>
      <c r="AM45" s="738" t="s">
        <v>1317</v>
      </c>
      <c r="AN45" s="739"/>
      <c r="AO45" s="1266"/>
      <c r="AP45" s="741"/>
      <c r="AQ45" s="741"/>
    </row>
    <row r="46" spans="1:43" ht="287.25" customHeight="1">
      <c r="A46" s="773" t="s">
        <v>1627</v>
      </c>
      <c r="B46" s="711" t="s">
        <v>1628</v>
      </c>
      <c r="C46" s="750">
        <v>0.25</v>
      </c>
      <c r="D46" s="743">
        <v>0.75</v>
      </c>
      <c r="E46" s="751">
        <v>0.25</v>
      </c>
      <c r="F46" s="732">
        <v>0.75</v>
      </c>
      <c r="G46" s="715"/>
      <c r="H46" s="717">
        <f t="shared" si="16"/>
        <v>1</v>
      </c>
      <c r="I46" s="717">
        <f t="shared" si="17"/>
        <v>1</v>
      </c>
      <c r="J46" s="718" t="s">
        <v>1629</v>
      </c>
      <c r="K46" s="718"/>
      <c r="L46" s="719"/>
      <c r="M46" s="720"/>
      <c r="N46" s="721"/>
      <c r="O46" s="718"/>
      <c r="P46" s="718"/>
      <c r="Q46" s="718"/>
      <c r="R46" s="722"/>
      <c r="S46" s="747"/>
      <c r="T46" s="732">
        <v>1</v>
      </c>
      <c r="U46" s="752">
        <f>+F46</f>
        <v>0.75</v>
      </c>
      <c r="V46" s="753">
        <f t="shared" si="18"/>
        <v>0.75</v>
      </c>
      <c r="W46" s="743">
        <v>0.5</v>
      </c>
      <c r="X46" s="716">
        <v>0.5</v>
      </c>
      <c r="Y46" s="754"/>
      <c r="Z46" s="744"/>
      <c r="AA46" s="744"/>
      <c r="AB46" s="730" t="e">
        <f t="shared" si="0"/>
        <v>#DIV/0!</v>
      </c>
      <c r="AC46" s="731"/>
      <c r="AD46" s="732" t="e">
        <f t="shared" si="1"/>
        <v>#DIV/0!</v>
      </c>
      <c r="AE46" s="733">
        <f t="shared" si="2"/>
        <v>0</v>
      </c>
      <c r="AF46" s="733"/>
      <c r="AG46" s="733"/>
      <c r="AH46" s="734" t="e">
        <f t="shared" si="3"/>
        <v>#DIV/0!</v>
      </c>
      <c r="AI46" s="754">
        <v>3693000000</v>
      </c>
      <c r="AJ46" s="735">
        <f t="shared" si="8"/>
        <v>0</v>
      </c>
      <c r="AK46" s="772">
        <f t="shared" si="4"/>
        <v>0</v>
      </c>
      <c r="AL46" s="737"/>
      <c r="AM46" s="738" t="s">
        <v>1317</v>
      </c>
      <c r="AN46" s="739" t="s">
        <v>993</v>
      </c>
      <c r="AO46" s="740" t="s">
        <v>1591</v>
      </c>
      <c r="AP46" s="741"/>
      <c r="AQ46" s="741"/>
    </row>
    <row r="47" spans="1:43" ht="64.5" customHeight="1">
      <c r="A47" s="773" t="s">
        <v>1630</v>
      </c>
      <c r="B47" s="711" t="s">
        <v>1631</v>
      </c>
      <c r="C47" s="750">
        <v>0</v>
      </c>
      <c r="D47" s="743">
        <v>0.1</v>
      </c>
      <c r="E47" s="779">
        <v>0</v>
      </c>
      <c r="F47" s="780">
        <v>0</v>
      </c>
      <c r="G47" s="715"/>
      <c r="H47" s="717" t="s">
        <v>1541</v>
      </c>
      <c r="I47" s="717">
        <f t="shared" si="17"/>
        <v>0</v>
      </c>
      <c r="J47" s="718" t="s">
        <v>1632</v>
      </c>
      <c r="K47" s="718"/>
      <c r="L47" s="719"/>
      <c r="M47" s="720"/>
      <c r="N47" s="721"/>
      <c r="O47" s="718"/>
      <c r="P47" s="718"/>
      <c r="Q47" s="718"/>
      <c r="R47" s="722"/>
      <c r="S47" s="718"/>
      <c r="T47" s="732">
        <v>1</v>
      </c>
      <c r="U47" s="767">
        <f>SUM(E47:G47)</f>
        <v>0</v>
      </c>
      <c r="V47" s="726">
        <f t="shared" si="18"/>
        <v>0</v>
      </c>
      <c r="W47" s="743">
        <v>0.1</v>
      </c>
      <c r="X47" s="716">
        <v>0.1</v>
      </c>
      <c r="Y47" s="754"/>
      <c r="Z47" s="744"/>
      <c r="AA47" s="744"/>
      <c r="AB47" s="730" t="e">
        <f t="shared" si="0"/>
        <v>#DIV/0!</v>
      </c>
      <c r="AC47" s="731"/>
      <c r="AD47" s="732" t="e">
        <f t="shared" si="1"/>
        <v>#DIV/0!</v>
      </c>
      <c r="AE47" s="733">
        <f t="shared" si="2"/>
        <v>0</v>
      </c>
      <c r="AF47" s="733"/>
      <c r="AG47" s="733"/>
      <c r="AH47" s="734" t="e">
        <f t="shared" si="3"/>
        <v>#DIV/0!</v>
      </c>
      <c r="AI47" s="754">
        <v>550000000</v>
      </c>
      <c r="AJ47" s="735">
        <f t="shared" si="8"/>
        <v>0</v>
      </c>
      <c r="AK47" s="772">
        <f t="shared" si="4"/>
        <v>0</v>
      </c>
      <c r="AL47" s="737"/>
      <c r="AM47" s="738" t="s">
        <v>1317</v>
      </c>
      <c r="AN47" s="739" t="s">
        <v>993</v>
      </c>
      <c r="AO47" s="740" t="s">
        <v>1591</v>
      </c>
      <c r="AP47" s="741"/>
      <c r="AQ47" s="741"/>
    </row>
    <row r="48" spans="1:43" ht="38.25">
      <c r="A48" s="781" t="s">
        <v>1633</v>
      </c>
      <c r="B48" s="711" t="s">
        <v>1634</v>
      </c>
      <c r="C48" s="756">
        <v>0</v>
      </c>
      <c r="D48" s="757">
        <v>1</v>
      </c>
      <c r="E48" s="779">
        <v>0</v>
      </c>
      <c r="F48" s="715">
        <v>0</v>
      </c>
      <c r="G48" s="715"/>
      <c r="H48" s="717" t="s">
        <v>1541</v>
      </c>
      <c r="I48" s="717">
        <f t="shared" si="17"/>
        <v>0</v>
      </c>
      <c r="J48" s="765" t="s">
        <v>1635</v>
      </c>
      <c r="K48" s="718"/>
      <c r="L48" s="719"/>
      <c r="M48" s="720"/>
      <c r="N48" s="721"/>
      <c r="O48" s="718"/>
      <c r="P48" s="718"/>
      <c r="Q48" s="718"/>
      <c r="R48" s="722"/>
      <c r="S48" s="718"/>
      <c r="T48" s="724">
        <v>1</v>
      </c>
      <c r="U48" s="767">
        <f>SUM(E48:G48)</f>
        <v>0</v>
      </c>
      <c r="V48" s="726">
        <f t="shared" si="18"/>
        <v>0</v>
      </c>
      <c r="W48" s="743">
        <v>0.01</v>
      </c>
      <c r="X48" s="716">
        <v>0.05</v>
      </c>
      <c r="Y48" s="754"/>
      <c r="Z48" s="744"/>
      <c r="AA48" s="744"/>
      <c r="AB48" s="730" t="e">
        <f t="shared" si="0"/>
        <v>#DIV/0!</v>
      </c>
      <c r="AC48" s="731"/>
      <c r="AD48" s="732" t="e">
        <f t="shared" si="1"/>
        <v>#DIV/0!</v>
      </c>
      <c r="AE48" s="733">
        <f t="shared" si="2"/>
        <v>0</v>
      </c>
      <c r="AF48" s="733"/>
      <c r="AG48" s="733"/>
      <c r="AH48" s="734" t="e">
        <f t="shared" si="3"/>
        <v>#DIV/0!</v>
      </c>
      <c r="AI48" s="754">
        <v>157000000</v>
      </c>
      <c r="AJ48" s="735">
        <f t="shared" si="8"/>
        <v>0</v>
      </c>
      <c r="AK48" s="772">
        <f t="shared" si="4"/>
        <v>0</v>
      </c>
      <c r="AL48" s="737"/>
      <c r="AM48" s="738" t="s">
        <v>1317</v>
      </c>
      <c r="AN48" s="739"/>
      <c r="AO48" s="1264" t="s">
        <v>1591</v>
      </c>
      <c r="AP48" s="741"/>
      <c r="AQ48" s="741"/>
    </row>
    <row r="49" spans="1:43" ht="85.5" customHeight="1">
      <c r="A49" s="782" t="s">
        <v>1636</v>
      </c>
      <c r="B49" s="711" t="s">
        <v>1637</v>
      </c>
      <c r="C49" s="756">
        <v>1</v>
      </c>
      <c r="D49" s="757">
        <v>1</v>
      </c>
      <c r="E49" s="714">
        <v>1</v>
      </c>
      <c r="F49" s="715">
        <v>1</v>
      </c>
      <c r="G49" s="715"/>
      <c r="H49" s="717">
        <f t="shared" ref="H49:H51" si="19">IF((E49+G49)/C49&gt;=100%,100%,(E49+G49)/C49)</f>
        <v>1</v>
      </c>
      <c r="I49" s="717">
        <f t="shared" si="17"/>
        <v>1</v>
      </c>
      <c r="J49" s="718" t="s">
        <v>1638</v>
      </c>
      <c r="K49" s="718"/>
      <c r="L49" s="719"/>
      <c r="M49" s="720"/>
      <c r="N49" s="721"/>
      <c r="O49" s="718"/>
      <c r="P49" s="718"/>
      <c r="Q49" s="718"/>
      <c r="R49" s="722"/>
      <c r="S49" s="718"/>
      <c r="T49" s="724">
        <v>4</v>
      </c>
      <c r="U49" s="725">
        <f>SUM(E49:G49)</f>
        <v>2</v>
      </c>
      <c r="V49" s="726">
        <f t="shared" si="18"/>
        <v>0.5</v>
      </c>
      <c r="W49" s="743">
        <v>0.1</v>
      </c>
      <c r="X49" s="716">
        <v>0.1</v>
      </c>
      <c r="Y49" s="754"/>
      <c r="Z49" s="744"/>
      <c r="AA49" s="744"/>
      <c r="AB49" s="730" t="e">
        <f t="shared" si="0"/>
        <v>#DIV/0!</v>
      </c>
      <c r="AC49" s="731"/>
      <c r="AD49" s="732" t="e">
        <f t="shared" si="1"/>
        <v>#DIV/0!</v>
      </c>
      <c r="AE49" s="733">
        <f t="shared" si="2"/>
        <v>0</v>
      </c>
      <c r="AF49" s="733"/>
      <c r="AG49" s="733"/>
      <c r="AH49" s="734" t="e">
        <f t="shared" si="3"/>
        <v>#DIV/0!</v>
      </c>
      <c r="AI49" s="754">
        <v>1300000000</v>
      </c>
      <c r="AJ49" s="735">
        <f t="shared" si="8"/>
        <v>0</v>
      </c>
      <c r="AK49" s="772">
        <f t="shared" si="4"/>
        <v>0</v>
      </c>
      <c r="AL49" s="737"/>
      <c r="AM49" s="738" t="s">
        <v>1317</v>
      </c>
      <c r="AN49" s="739" t="s">
        <v>993</v>
      </c>
      <c r="AO49" s="1266"/>
      <c r="AP49" s="741"/>
      <c r="AQ49" s="741"/>
    </row>
    <row r="50" spans="1:43" ht="64.5" customHeight="1">
      <c r="A50" s="778" t="s">
        <v>1639</v>
      </c>
      <c r="B50" s="711" t="s">
        <v>1640</v>
      </c>
      <c r="C50" s="750">
        <v>0.1</v>
      </c>
      <c r="D50" s="743">
        <v>0.3</v>
      </c>
      <c r="E50" s="751">
        <v>0.1</v>
      </c>
      <c r="F50" s="732">
        <v>0.27</v>
      </c>
      <c r="G50" s="715"/>
      <c r="H50" s="717">
        <f t="shared" si="19"/>
        <v>1</v>
      </c>
      <c r="I50" s="717">
        <f>IF(F50/D50&gt;=100%,100%,F50/D50)</f>
        <v>0.90000000000000013</v>
      </c>
      <c r="J50" s="718" t="s">
        <v>1641</v>
      </c>
      <c r="K50" s="718"/>
      <c r="L50" s="719"/>
      <c r="M50" s="720"/>
      <c r="N50" s="721"/>
      <c r="O50" s="718"/>
      <c r="P50" s="718"/>
      <c r="Q50" s="718"/>
      <c r="R50" s="722"/>
      <c r="S50" s="718"/>
      <c r="T50" s="732">
        <v>0.7</v>
      </c>
      <c r="U50" s="752">
        <f>+F50</f>
        <v>0.27</v>
      </c>
      <c r="V50" s="753">
        <f t="shared" si="18"/>
        <v>0.38571428571428579</v>
      </c>
      <c r="W50" s="743">
        <v>0.05</v>
      </c>
      <c r="X50" s="716">
        <v>0.05</v>
      </c>
      <c r="Y50" s="754"/>
      <c r="Z50" s="744"/>
      <c r="AA50" s="744"/>
      <c r="AB50" s="730" t="e">
        <f t="shared" si="0"/>
        <v>#DIV/0!</v>
      </c>
      <c r="AC50" s="731"/>
      <c r="AD50" s="732" t="e">
        <f t="shared" si="1"/>
        <v>#DIV/0!</v>
      </c>
      <c r="AE50" s="733">
        <f t="shared" si="2"/>
        <v>0</v>
      </c>
      <c r="AF50" s="733"/>
      <c r="AG50" s="733"/>
      <c r="AH50" s="734" t="e">
        <f t="shared" si="3"/>
        <v>#DIV/0!</v>
      </c>
      <c r="AI50" s="754">
        <v>1000000000</v>
      </c>
      <c r="AJ50" s="735">
        <f t="shared" si="8"/>
        <v>0</v>
      </c>
      <c r="AK50" s="772">
        <f t="shared" si="4"/>
        <v>0</v>
      </c>
      <c r="AL50" s="737"/>
      <c r="AM50" s="738" t="s">
        <v>1317</v>
      </c>
      <c r="AN50" s="739"/>
      <c r="AO50" s="740" t="s">
        <v>1591</v>
      </c>
      <c r="AP50" s="741"/>
      <c r="AQ50" s="741"/>
    </row>
    <row r="51" spans="1:43" ht="64.5" customHeight="1">
      <c r="A51" s="782" t="s">
        <v>1642</v>
      </c>
      <c r="B51" s="711" t="s">
        <v>1643</v>
      </c>
      <c r="C51" s="750">
        <v>1</v>
      </c>
      <c r="D51" s="743">
        <v>1</v>
      </c>
      <c r="E51" s="751">
        <v>1</v>
      </c>
      <c r="F51" s="732">
        <v>1</v>
      </c>
      <c r="G51" s="715"/>
      <c r="H51" s="717">
        <f t="shared" si="19"/>
        <v>1</v>
      </c>
      <c r="I51" s="717">
        <f>IF(F51/D51&gt;=100%,100%,F51/D51)</f>
        <v>1</v>
      </c>
      <c r="J51" s="718" t="s">
        <v>1644</v>
      </c>
      <c r="K51" s="718"/>
      <c r="L51" s="719"/>
      <c r="M51" s="766"/>
      <c r="N51" s="721"/>
      <c r="O51" s="718"/>
      <c r="P51" s="718"/>
      <c r="Q51" s="718"/>
      <c r="R51" s="722"/>
      <c r="S51" s="747"/>
      <c r="T51" s="732">
        <v>1</v>
      </c>
      <c r="U51" s="752">
        <f>SUM(E51:G51)/4</f>
        <v>0.5</v>
      </c>
      <c r="V51" s="753">
        <f t="shared" si="18"/>
        <v>0.5</v>
      </c>
      <c r="W51" s="743">
        <v>0.05</v>
      </c>
      <c r="X51" s="716">
        <v>0.05</v>
      </c>
      <c r="Y51" s="754"/>
      <c r="Z51" s="744"/>
      <c r="AA51" s="744"/>
      <c r="AB51" s="730" t="e">
        <f t="shared" si="0"/>
        <v>#DIV/0!</v>
      </c>
      <c r="AC51" s="731"/>
      <c r="AD51" s="732" t="e">
        <f t="shared" si="1"/>
        <v>#DIV/0!</v>
      </c>
      <c r="AE51" s="733">
        <f t="shared" si="2"/>
        <v>0</v>
      </c>
      <c r="AF51" s="733"/>
      <c r="AG51" s="733"/>
      <c r="AH51" s="734" t="e">
        <f t="shared" si="3"/>
        <v>#DIV/0!</v>
      </c>
      <c r="AI51" s="754">
        <v>1000000000</v>
      </c>
      <c r="AJ51" s="735">
        <f t="shared" si="8"/>
        <v>0</v>
      </c>
      <c r="AK51" s="736">
        <f t="shared" si="4"/>
        <v>0</v>
      </c>
      <c r="AL51" s="737"/>
      <c r="AM51" s="738" t="s">
        <v>1317</v>
      </c>
      <c r="AN51" s="739" t="s">
        <v>1063</v>
      </c>
      <c r="AO51" s="740" t="s">
        <v>1591</v>
      </c>
      <c r="AP51" s="741"/>
      <c r="AQ51" s="741"/>
    </row>
    <row r="52" spans="1:43" ht="38.25">
      <c r="A52" s="666" t="s">
        <v>1645</v>
      </c>
      <c r="B52" s="783"/>
      <c r="C52" s="784"/>
      <c r="D52" s="785"/>
      <c r="E52" s="784"/>
      <c r="F52" s="786"/>
      <c r="G52" s="786"/>
      <c r="H52" s="671">
        <f>+(H53*W53)+(H57*W57)+(H61*W61)</f>
        <v>0.89999999999999991</v>
      </c>
      <c r="I52" s="671">
        <f>+(I53*X53)+(I57*X57)+(I61*X61)</f>
        <v>0.96250000000000002</v>
      </c>
      <c r="J52" s="787"/>
      <c r="K52" s="787"/>
      <c r="L52" s="788"/>
      <c r="M52" s="788"/>
      <c r="N52" s="788"/>
      <c r="O52" s="787"/>
      <c r="P52" s="787"/>
      <c r="Q52" s="787"/>
      <c r="R52" s="789"/>
      <c r="S52" s="790"/>
      <c r="T52" s="791"/>
      <c r="U52" s="792"/>
      <c r="V52" s="676">
        <f>+(V53*W53)+(V57*W57)+(V61*W61)</f>
        <v>0.44224199999999991</v>
      </c>
      <c r="W52" s="671">
        <v>0.4</v>
      </c>
      <c r="X52" s="671">
        <v>0.4</v>
      </c>
      <c r="Y52" s="678">
        <f>+Y53+Y57+Y61</f>
        <v>7040000000</v>
      </c>
      <c r="Z52" s="678">
        <f>+Z53+Z57+Z61</f>
        <v>375909133</v>
      </c>
      <c r="AA52" s="678">
        <f>+AA53+AA57+AA61</f>
        <v>6803924041.3600006</v>
      </c>
      <c r="AB52" s="679">
        <f t="shared" si="0"/>
        <v>0.96646648314772732</v>
      </c>
      <c r="AC52" s="678">
        <f>+AC53+AC57+AC61</f>
        <v>2002871533.3600001</v>
      </c>
      <c r="AD52" s="677">
        <f t="shared" si="1"/>
        <v>0.28449879735227274</v>
      </c>
      <c r="AE52" s="680">
        <f t="shared" si="2"/>
        <v>4801052508</v>
      </c>
      <c r="AF52" s="678">
        <f>+AF53+AF57+AF61</f>
        <v>64872850</v>
      </c>
      <c r="AG52" s="678">
        <f>+AG53+AG57+AG61</f>
        <v>64872850</v>
      </c>
      <c r="AH52" s="793">
        <f t="shared" si="3"/>
        <v>1</v>
      </c>
      <c r="AI52" s="678">
        <f>+AI53+AI57+AI61</f>
        <v>12100000000</v>
      </c>
      <c r="AJ52" s="678">
        <f>+AJ53+AJ57+AJ61</f>
        <v>579539460</v>
      </c>
      <c r="AK52" s="671">
        <f t="shared" si="4"/>
        <v>4.7895823140495869E-2</v>
      </c>
      <c r="AL52" s="682"/>
      <c r="AM52" s="683"/>
      <c r="AN52" s="684"/>
      <c r="AO52" s="685"/>
      <c r="AP52" s="686"/>
      <c r="AQ52" s="686"/>
    </row>
    <row r="53" spans="1:43" s="709" customFormat="1" ht="54.75" customHeight="1">
      <c r="A53" s="687" t="s">
        <v>1646</v>
      </c>
      <c r="B53" s="706"/>
      <c r="C53" s="794"/>
      <c r="D53" s="794"/>
      <c r="E53" s="693"/>
      <c r="F53" s="693"/>
      <c r="G53" s="693">
        <f t="shared" ref="G53" si="20">+(G54*50%)+(G56*50%)</f>
        <v>0</v>
      </c>
      <c r="H53" s="693">
        <f>+(H54*50%)+(H56*50%)</f>
        <v>1</v>
      </c>
      <c r="I53" s="693">
        <f>+SUMPRODUCT(I54:I56,X54:X56)</f>
        <v>1</v>
      </c>
      <c r="J53" s="694"/>
      <c r="K53" s="694"/>
      <c r="L53" s="769"/>
      <c r="M53" s="769"/>
      <c r="N53" s="769"/>
      <c r="O53" s="694"/>
      <c r="P53" s="694"/>
      <c r="Q53" s="694"/>
      <c r="R53" s="770"/>
      <c r="S53" s="771"/>
      <c r="T53" s="696"/>
      <c r="U53" s="697"/>
      <c r="V53" s="693">
        <f>+SUMPRODUCT(V54:V56,W54:W56)</f>
        <v>0.47433333333333327</v>
      </c>
      <c r="W53" s="693">
        <v>0.3</v>
      </c>
      <c r="X53" s="701">
        <v>0.3</v>
      </c>
      <c r="Y53" s="699">
        <v>400000000</v>
      </c>
      <c r="Z53" s="699">
        <v>173543333</v>
      </c>
      <c r="AA53" s="699">
        <v>270045127</v>
      </c>
      <c r="AB53" s="700">
        <f t="shared" si="0"/>
        <v>0.67511281749999996</v>
      </c>
      <c r="AC53" s="699">
        <v>260045127</v>
      </c>
      <c r="AD53" s="701">
        <f t="shared" si="1"/>
        <v>0.65011281750000005</v>
      </c>
      <c r="AE53" s="702">
        <f t="shared" si="2"/>
        <v>10000000</v>
      </c>
      <c r="AF53" s="702"/>
      <c r="AG53" s="702"/>
      <c r="AH53" s="703" t="e">
        <f t="shared" si="3"/>
        <v>#DIV/0!</v>
      </c>
      <c r="AI53" s="699">
        <f>SUM(AI54:AI56)</f>
        <v>1900000000</v>
      </c>
      <c r="AJ53" s="699">
        <f>+SUM(Z53:AA53)</f>
        <v>443588460</v>
      </c>
      <c r="AK53" s="693">
        <f t="shared" si="4"/>
        <v>0.23346761052631579</v>
      </c>
      <c r="AL53" s="704"/>
      <c r="AM53" s="705" t="s">
        <v>1322</v>
      </c>
      <c r="AN53" s="706"/>
      <c r="AO53" s="707"/>
      <c r="AP53" s="708"/>
      <c r="AQ53" s="708"/>
    </row>
    <row r="54" spans="1:43" ht="296.25" customHeight="1">
      <c r="A54" s="710" t="s">
        <v>1647</v>
      </c>
      <c r="B54" s="795" t="s">
        <v>1648</v>
      </c>
      <c r="C54" s="796">
        <v>2</v>
      </c>
      <c r="D54" s="797">
        <v>3</v>
      </c>
      <c r="E54" s="798">
        <v>4</v>
      </c>
      <c r="F54" s="715">
        <v>4</v>
      </c>
      <c r="G54" s="715"/>
      <c r="H54" s="717">
        <f t="shared" ref="H54" si="21">IF((E54+G54)/C54&gt;=100%,100%,(E54+G54)/C54)</f>
        <v>1</v>
      </c>
      <c r="I54" s="717">
        <f>IF(F54/D54&gt;=100%,100%,F54/D54)</f>
        <v>1</v>
      </c>
      <c r="J54" s="718" t="s">
        <v>1649</v>
      </c>
      <c r="K54" s="718"/>
      <c r="L54" s="719"/>
      <c r="M54" s="720"/>
      <c r="N54" s="721"/>
      <c r="O54" s="718"/>
      <c r="P54" s="718"/>
      <c r="Q54" s="718"/>
      <c r="R54" s="722"/>
      <c r="S54" s="747"/>
      <c r="T54" s="724">
        <v>15</v>
      </c>
      <c r="U54" s="725">
        <f>SUM(E54:G54)</f>
        <v>8</v>
      </c>
      <c r="V54" s="726">
        <f>IF(U54/T54&gt;=100%,100%,U54/T54)</f>
        <v>0.53333333333333333</v>
      </c>
      <c r="W54" s="743">
        <v>0.57999999999999996</v>
      </c>
      <c r="X54" s="716">
        <v>0.6</v>
      </c>
      <c r="Y54" s="754"/>
      <c r="Z54" s="744"/>
      <c r="AA54" s="744"/>
      <c r="AB54" s="730" t="e">
        <f t="shared" si="0"/>
        <v>#DIV/0!</v>
      </c>
      <c r="AC54" s="731"/>
      <c r="AD54" s="732" t="e">
        <f t="shared" si="1"/>
        <v>#DIV/0!</v>
      </c>
      <c r="AE54" s="733">
        <f t="shared" si="2"/>
        <v>0</v>
      </c>
      <c r="AF54" s="733"/>
      <c r="AG54" s="733"/>
      <c r="AH54" s="734" t="e">
        <f t="shared" si="3"/>
        <v>#DIV/0!</v>
      </c>
      <c r="AI54" s="754">
        <v>1430000000</v>
      </c>
      <c r="AJ54" s="735">
        <f t="shared" si="8"/>
        <v>0</v>
      </c>
      <c r="AK54" s="772">
        <f t="shared" si="4"/>
        <v>0</v>
      </c>
      <c r="AL54" s="737"/>
      <c r="AM54" s="738" t="s">
        <v>1322</v>
      </c>
      <c r="AN54" s="739"/>
      <c r="AO54" s="740" t="s">
        <v>1650</v>
      </c>
      <c r="AP54" s="741"/>
      <c r="AQ54" s="741"/>
    </row>
    <row r="55" spans="1:43" ht="102.75" customHeight="1">
      <c r="A55" s="710" t="s">
        <v>1651</v>
      </c>
      <c r="B55" s="711" t="s">
        <v>1652</v>
      </c>
      <c r="C55" s="750">
        <v>0</v>
      </c>
      <c r="D55" s="743">
        <v>0.2</v>
      </c>
      <c r="E55" s="779">
        <v>0</v>
      </c>
      <c r="F55" s="799">
        <v>0.2</v>
      </c>
      <c r="G55" s="715"/>
      <c r="H55" s="717" t="s">
        <v>1541</v>
      </c>
      <c r="I55" s="717">
        <f>IF(F55/D55&gt;=100%,100%,F55/D55)</f>
        <v>1</v>
      </c>
      <c r="J55" s="718" t="s">
        <v>1653</v>
      </c>
      <c r="K55" s="718"/>
      <c r="L55" s="719"/>
      <c r="M55" s="720"/>
      <c r="N55" s="721"/>
      <c r="O55" s="718"/>
      <c r="P55" s="718"/>
      <c r="Q55" s="718"/>
      <c r="R55" s="722"/>
      <c r="S55" s="747"/>
      <c r="T55" s="732">
        <v>1</v>
      </c>
      <c r="U55" s="752">
        <f>SUM(E55:G55)</f>
        <v>0.2</v>
      </c>
      <c r="V55" s="726">
        <f>IF(U55/T55&gt;=100%,100%,U55/T55)</f>
        <v>0.2</v>
      </c>
      <c r="W55" s="743">
        <v>0.15</v>
      </c>
      <c r="X55" s="716">
        <v>0.2</v>
      </c>
      <c r="Y55" s="754"/>
      <c r="Z55" s="744"/>
      <c r="AA55" s="744"/>
      <c r="AB55" s="730" t="e">
        <f t="shared" si="0"/>
        <v>#DIV/0!</v>
      </c>
      <c r="AC55" s="731"/>
      <c r="AD55" s="732" t="e">
        <f t="shared" si="1"/>
        <v>#DIV/0!</v>
      </c>
      <c r="AE55" s="733">
        <f t="shared" si="2"/>
        <v>0</v>
      </c>
      <c r="AF55" s="733"/>
      <c r="AG55" s="733"/>
      <c r="AH55" s="734" t="e">
        <f t="shared" si="3"/>
        <v>#DIV/0!</v>
      </c>
      <c r="AI55" s="754">
        <v>83000000</v>
      </c>
      <c r="AJ55" s="735">
        <f t="shared" si="8"/>
        <v>0</v>
      </c>
      <c r="AK55" s="772">
        <f t="shared" si="4"/>
        <v>0</v>
      </c>
      <c r="AL55" s="737"/>
      <c r="AM55" s="738" t="s">
        <v>1322</v>
      </c>
      <c r="AN55" s="739"/>
      <c r="AO55" s="740" t="s">
        <v>1591</v>
      </c>
      <c r="AP55" s="741"/>
      <c r="AQ55" s="741"/>
    </row>
    <row r="56" spans="1:43" ht="93" customHeight="1">
      <c r="A56" s="710" t="s">
        <v>1654</v>
      </c>
      <c r="B56" s="711" t="s">
        <v>1655</v>
      </c>
      <c r="C56" s="750">
        <v>1</v>
      </c>
      <c r="D56" s="743">
        <v>1</v>
      </c>
      <c r="E56" s="743">
        <v>1</v>
      </c>
      <c r="F56" s="751">
        <v>1</v>
      </c>
      <c r="G56" s="715"/>
      <c r="H56" s="717">
        <f t="shared" ref="H56" si="22">IF((E56+G56)/C56&gt;=100%,100%,(E56+G56)/C56)</f>
        <v>1</v>
      </c>
      <c r="I56" s="717">
        <f>IF(F56/D56&gt;=100%,100%,F56/D56)</f>
        <v>1</v>
      </c>
      <c r="J56" s="718" t="s">
        <v>1656</v>
      </c>
      <c r="K56" s="718"/>
      <c r="L56" s="719"/>
      <c r="M56" s="720"/>
      <c r="N56" s="721"/>
      <c r="O56" s="718"/>
      <c r="P56" s="718"/>
      <c r="Q56" s="718"/>
      <c r="R56" s="722"/>
      <c r="S56" s="718"/>
      <c r="T56" s="732">
        <v>1</v>
      </c>
      <c r="U56" s="752">
        <f>SUM(E56:G56)/4</f>
        <v>0.5</v>
      </c>
      <c r="V56" s="753">
        <f>IF(U56/T56&gt;=100%,100%,U56/T56)</f>
        <v>0.5</v>
      </c>
      <c r="W56" s="743">
        <v>0.27</v>
      </c>
      <c r="X56" s="716">
        <v>0.2</v>
      </c>
      <c r="Y56" s="754"/>
      <c r="Z56" s="744"/>
      <c r="AA56" s="744"/>
      <c r="AB56" s="730" t="e">
        <f t="shared" si="0"/>
        <v>#DIV/0!</v>
      </c>
      <c r="AC56" s="731"/>
      <c r="AD56" s="732" t="e">
        <f t="shared" si="1"/>
        <v>#DIV/0!</v>
      </c>
      <c r="AE56" s="733">
        <f t="shared" si="2"/>
        <v>0</v>
      </c>
      <c r="AF56" s="733"/>
      <c r="AG56" s="733"/>
      <c r="AH56" s="734" t="e">
        <f t="shared" si="3"/>
        <v>#DIV/0!</v>
      </c>
      <c r="AI56" s="754">
        <v>387000000</v>
      </c>
      <c r="AJ56" s="735">
        <f t="shared" si="8"/>
        <v>0</v>
      </c>
      <c r="AK56" s="772">
        <f t="shared" si="4"/>
        <v>0</v>
      </c>
      <c r="AL56" s="737"/>
      <c r="AM56" s="738" t="s">
        <v>1321</v>
      </c>
      <c r="AN56" s="739"/>
      <c r="AO56" s="740" t="s">
        <v>1657</v>
      </c>
      <c r="AP56" s="741"/>
      <c r="AQ56" s="741"/>
    </row>
    <row r="57" spans="1:43" s="709" customFormat="1" ht="63.75">
      <c r="A57" s="687" t="s">
        <v>1658</v>
      </c>
      <c r="B57" s="688"/>
      <c r="C57" s="689"/>
      <c r="D57" s="690"/>
      <c r="E57" s="689"/>
      <c r="F57" s="691"/>
      <c r="G57" s="691"/>
      <c r="H57" s="693">
        <f>+(H58*100%)</f>
        <v>1</v>
      </c>
      <c r="I57" s="693">
        <f>+SUMPRODUCT(I58:I60,X58:X60)</f>
        <v>0.875</v>
      </c>
      <c r="J57" s="694"/>
      <c r="K57" s="694"/>
      <c r="L57" s="769"/>
      <c r="M57" s="769"/>
      <c r="N57" s="769"/>
      <c r="O57" s="694"/>
      <c r="P57" s="694"/>
      <c r="Q57" s="694"/>
      <c r="R57" s="770"/>
      <c r="S57" s="771"/>
      <c r="T57" s="696"/>
      <c r="U57" s="697"/>
      <c r="V57" s="693">
        <f>+SUMPRODUCT(V58:V60,W58:W60)</f>
        <v>3.6139999999999999E-2</v>
      </c>
      <c r="W57" s="693">
        <v>0.3</v>
      </c>
      <c r="X57" s="701">
        <v>0.3</v>
      </c>
      <c r="Y57" s="699">
        <v>200000000</v>
      </c>
      <c r="Z57" s="699">
        <f>SUM(Z58:Z60)</f>
        <v>0</v>
      </c>
      <c r="AA57" s="699">
        <v>135951000</v>
      </c>
      <c r="AB57" s="700">
        <f t="shared" si="0"/>
        <v>0.679755</v>
      </c>
      <c r="AC57" s="699">
        <v>30226400</v>
      </c>
      <c r="AD57" s="701">
        <f t="shared" si="1"/>
        <v>0.15113199999999999</v>
      </c>
      <c r="AE57" s="702">
        <f t="shared" si="2"/>
        <v>105724600</v>
      </c>
      <c r="AF57" s="702"/>
      <c r="AG57" s="702"/>
      <c r="AH57" s="703" t="e">
        <f t="shared" si="3"/>
        <v>#DIV/0!</v>
      </c>
      <c r="AI57" s="699">
        <f>SUM(AI58:AI60)</f>
        <v>1400000000</v>
      </c>
      <c r="AJ57" s="699">
        <f>+SUM(Z57:AA57)</f>
        <v>135951000</v>
      </c>
      <c r="AK57" s="693">
        <f t="shared" si="4"/>
        <v>9.7107857142857149E-2</v>
      </c>
      <c r="AL57" s="704"/>
      <c r="AM57" s="705" t="s">
        <v>1322</v>
      </c>
      <c r="AN57" s="706"/>
      <c r="AO57" s="707"/>
      <c r="AP57" s="708"/>
      <c r="AQ57" s="708"/>
    </row>
    <row r="58" spans="1:43" ht="232.5" customHeight="1">
      <c r="A58" s="710" t="s">
        <v>1659</v>
      </c>
      <c r="B58" s="711" t="s">
        <v>1660</v>
      </c>
      <c r="C58" s="800">
        <v>0.2</v>
      </c>
      <c r="D58" s="774">
        <v>0.8</v>
      </c>
      <c r="E58" s="751">
        <v>0.05</v>
      </c>
      <c r="F58" s="732">
        <v>0.8</v>
      </c>
      <c r="G58" s="732">
        <v>0.15</v>
      </c>
      <c r="H58" s="801">
        <f t="shared" ref="H58" si="23">IF((E58+G58)/C58&gt;=100%,100%,(E58+G58)/C58)</f>
        <v>1</v>
      </c>
      <c r="I58" s="717">
        <f>IF(F58/D58&gt;=100%,100%,F58/D58)</f>
        <v>1</v>
      </c>
      <c r="J58" s="718" t="s">
        <v>1661</v>
      </c>
      <c r="K58" s="718"/>
      <c r="L58" s="719"/>
      <c r="M58" s="720"/>
      <c r="N58" s="721"/>
      <c r="O58" s="718"/>
      <c r="P58" s="718"/>
      <c r="Q58" s="718"/>
      <c r="R58" s="722"/>
      <c r="S58" s="747"/>
      <c r="T58" s="1164">
        <v>100</v>
      </c>
      <c r="U58" s="752">
        <f>+F58</f>
        <v>0.8</v>
      </c>
      <c r="V58" s="753">
        <f>IF(U58/T58&gt;=100%,100%,U58/T58)</f>
        <v>8.0000000000000002E-3</v>
      </c>
      <c r="W58" s="743">
        <v>0.57999999999999996</v>
      </c>
      <c r="X58" s="716">
        <v>0.5</v>
      </c>
      <c r="Y58" s="754"/>
      <c r="Z58" s="744"/>
      <c r="AA58" s="744"/>
      <c r="AB58" s="730" t="e">
        <f t="shared" si="0"/>
        <v>#DIV/0!</v>
      </c>
      <c r="AC58" s="731"/>
      <c r="AD58" s="732" t="e">
        <f t="shared" si="1"/>
        <v>#DIV/0!</v>
      </c>
      <c r="AE58" s="733">
        <f t="shared" si="2"/>
        <v>0</v>
      </c>
      <c r="AF58" s="733"/>
      <c r="AG58" s="733"/>
      <c r="AH58" s="734" t="e">
        <f t="shared" si="3"/>
        <v>#DIV/0!</v>
      </c>
      <c r="AI58" s="754">
        <v>360000000</v>
      </c>
      <c r="AJ58" s="735">
        <f t="shared" si="8"/>
        <v>0</v>
      </c>
      <c r="AK58" s="772">
        <f t="shared" si="4"/>
        <v>0</v>
      </c>
      <c r="AL58" s="737"/>
      <c r="AM58" s="738" t="s">
        <v>1322</v>
      </c>
      <c r="AN58" s="739"/>
      <c r="AO58" s="740" t="s">
        <v>1662</v>
      </c>
      <c r="AP58" s="741"/>
      <c r="AQ58" s="741"/>
    </row>
    <row r="59" spans="1:43" ht="186.75" customHeight="1">
      <c r="A59" s="710" t="s">
        <v>1663</v>
      </c>
      <c r="B59" s="711" t="s">
        <v>1664</v>
      </c>
      <c r="C59" s="800">
        <v>0</v>
      </c>
      <c r="D59" s="774">
        <v>0.2</v>
      </c>
      <c r="E59" s="751">
        <v>0</v>
      </c>
      <c r="F59" s="732">
        <v>0.15</v>
      </c>
      <c r="G59" s="715"/>
      <c r="H59" s="717" t="s">
        <v>1536</v>
      </c>
      <c r="I59" s="717">
        <f>IF(F59/D59&gt;=100%,100%,F59/D59)</f>
        <v>0.74999999999999989</v>
      </c>
      <c r="J59" s="718" t="s">
        <v>1665</v>
      </c>
      <c r="K59" s="718"/>
      <c r="L59" s="719"/>
      <c r="M59" s="720"/>
      <c r="N59" s="721"/>
      <c r="O59" s="718"/>
      <c r="P59" s="718"/>
      <c r="Q59" s="718"/>
      <c r="R59" s="722"/>
      <c r="S59" s="747"/>
      <c r="T59" s="732">
        <v>1</v>
      </c>
      <c r="U59" s="752">
        <f>SUM(E59:G59)</f>
        <v>0.15</v>
      </c>
      <c r="V59" s="726">
        <f>IF(U59/T59&gt;=100%,100%,U59/T59)</f>
        <v>0.15</v>
      </c>
      <c r="W59" s="743">
        <v>0.21</v>
      </c>
      <c r="X59" s="716">
        <v>0.5</v>
      </c>
      <c r="Y59" s="754"/>
      <c r="Z59" s="744"/>
      <c r="AA59" s="744"/>
      <c r="AB59" s="730" t="e">
        <f t="shared" si="0"/>
        <v>#DIV/0!</v>
      </c>
      <c r="AC59" s="731"/>
      <c r="AD59" s="732" t="e">
        <f t="shared" si="1"/>
        <v>#DIV/0!</v>
      </c>
      <c r="AE59" s="733">
        <f t="shared" si="2"/>
        <v>0</v>
      </c>
      <c r="AF59" s="733"/>
      <c r="AG59" s="733"/>
      <c r="AH59" s="734" t="e">
        <f t="shared" si="3"/>
        <v>#DIV/0!</v>
      </c>
      <c r="AI59" s="754">
        <v>340000000</v>
      </c>
      <c r="AJ59" s="735">
        <f t="shared" si="8"/>
        <v>0</v>
      </c>
      <c r="AK59" s="772">
        <f t="shared" si="4"/>
        <v>0</v>
      </c>
      <c r="AL59" s="737"/>
      <c r="AM59" s="738" t="s">
        <v>1322</v>
      </c>
      <c r="AN59" s="739"/>
      <c r="AO59" s="740" t="s">
        <v>1662</v>
      </c>
      <c r="AP59" s="741"/>
      <c r="AQ59" s="741"/>
    </row>
    <row r="60" spans="1:43" ht="357">
      <c r="A60" s="710" t="s">
        <v>1666</v>
      </c>
      <c r="B60" s="711" t="s">
        <v>1667</v>
      </c>
      <c r="C60" s="712">
        <v>0</v>
      </c>
      <c r="D60" s="713">
        <v>0</v>
      </c>
      <c r="E60" s="714">
        <v>0</v>
      </c>
      <c r="F60" s="715">
        <v>0</v>
      </c>
      <c r="G60" s="715"/>
      <c r="H60" s="717" t="s">
        <v>1541</v>
      </c>
      <c r="I60" s="717" t="s">
        <v>1536</v>
      </c>
      <c r="J60" s="718"/>
      <c r="K60" s="718"/>
      <c r="L60" s="719"/>
      <c r="M60" s="720"/>
      <c r="N60" s="721"/>
      <c r="O60" s="718"/>
      <c r="P60" s="718"/>
      <c r="Q60" s="718"/>
      <c r="R60" s="722"/>
      <c r="S60" s="718"/>
      <c r="T60" s="724">
        <v>1</v>
      </c>
      <c r="U60" s="725">
        <f>SUM(E60:G60)</f>
        <v>0</v>
      </c>
      <c r="V60" s="726">
        <f>IF(U60/T60&gt;=100%,100%,U60/T60)</f>
        <v>0</v>
      </c>
      <c r="W60" s="743">
        <v>0.33</v>
      </c>
      <c r="X60" s="716">
        <v>0</v>
      </c>
      <c r="Y60" s="768"/>
      <c r="Z60" s="744"/>
      <c r="AA60" s="744"/>
      <c r="AB60" s="730" t="e">
        <f t="shared" si="0"/>
        <v>#DIV/0!</v>
      </c>
      <c r="AC60" s="731"/>
      <c r="AD60" s="732" t="e">
        <f t="shared" si="1"/>
        <v>#DIV/0!</v>
      </c>
      <c r="AE60" s="733">
        <f t="shared" si="2"/>
        <v>0</v>
      </c>
      <c r="AF60" s="733"/>
      <c r="AG60" s="733"/>
      <c r="AH60" s="734" t="e">
        <f t="shared" si="3"/>
        <v>#DIV/0!</v>
      </c>
      <c r="AI60" s="768">
        <v>700000000</v>
      </c>
      <c r="AJ60" s="735">
        <f t="shared" si="8"/>
        <v>0</v>
      </c>
      <c r="AK60" s="772">
        <f t="shared" si="4"/>
        <v>0</v>
      </c>
      <c r="AL60" s="737"/>
      <c r="AM60" s="738" t="s">
        <v>1322</v>
      </c>
      <c r="AN60" s="739"/>
      <c r="AO60" s="740" t="s">
        <v>1650</v>
      </c>
      <c r="AP60" s="741"/>
      <c r="AQ60" s="741"/>
    </row>
    <row r="61" spans="1:43" s="709" customFormat="1" ht="51" customHeight="1">
      <c r="A61" s="687" t="s">
        <v>1668</v>
      </c>
      <c r="B61" s="688"/>
      <c r="C61" s="689"/>
      <c r="D61" s="690"/>
      <c r="E61" s="689"/>
      <c r="F61" s="691"/>
      <c r="G61" s="691"/>
      <c r="H61" s="693">
        <f>+(H62*50%)+(H63*50%)</f>
        <v>1</v>
      </c>
      <c r="I61" s="693">
        <f>+SUMPRODUCT(I62:I65,X62:X65)</f>
        <v>1</v>
      </c>
      <c r="J61" s="694"/>
      <c r="K61" s="694"/>
      <c r="L61" s="769"/>
      <c r="M61" s="769"/>
      <c r="N61" s="769"/>
      <c r="O61" s="694"/>
      <c r="P61" s="694"/>
      <c r="Q61" s="694"/>
      <c r="R61" s="770"/>
      <c r="S61" s="771"/>
      <c r="T61" s="696"/>
      <c r="U61" s="697"/>
      <c r="V61" s="676">
        <f>+SUMPRODUCT(V62:V65,W62:W65)</f>
        <v>0.96366666666666667</v>
      </c>
      <c r="W61" s="693">
        <v>0.3</v>
      </c>
      <c r="X61" s="701">
        <v>0.4</v>
      </c>
      <c r="Y61" s="699">
        <v>6440000000</v>
      </c>
      <c r="Z61" s="699">
        <v>202365800</v>
      </c>
      <c r="AA61" s="699">
        <v>6397927914.3600006</v>
      </c>
      <c r="AB61" s="700">
        <f t="shared" si="0"/>
        <v>0.99346706744720503</v>
      </c>
      <c r="AC61" s="699">
        <v>1712600006.3600001</v>
      </c>
      <c r="AD61" s="701">
        <f t="shared" si="1"/>
        <v>0.2659316780062112</v>
      </c>
      <c r="AE61" s="702">
        <f t="shared" si="2"/>
        <v>4685327908</v>
      </c>
      <c r="AF61" s="702">
        <v>64872850</v>
      </c>
      <c r="AG61" s="702">
        <v>64872850</v>
      </c>
      <c r="AH61" s="703">
        <f t="shared" si="3"/>
        <v>1</v>
      </c>
      <c r="AI61" s="699">
        <f>SUM(AI62:AI65)</f>
        <v>8800000000</v>
      </c>
      <c r="AJ61" s="699">
        <f>SUM(AJ62:AJ65)</f>
        <v>0</v>
      </c>
      <c r="AK61" s="693">
        <f t="shared" si="4"/>
        <v>0</v>
      </c>
      <c r="AL61" s="704"/>
      <c r="AM61" s="705" t="s">
        <v>1322</v>
      </c>
      <c r="AN61" s="706"/>
      <c r="AO61" s="707"/>
      <c r="AP61" s="708"/>
      <c r="AQ61" s="708"/>
    </row>
    <row r="62" spans="1:43" ht="81" customHeight="1">
      <c r="A62" s="710" t="s">
        <v>1669</v>
      </c>
      <c r="B62" s="802" t="s">
        <v>1670</v>
      </c>
      <c r="C62" s="803">
        <v>1</v>
      </c>
      <c r="D62" s="804">
        <v>1</v>
      </c>
      <c r="E62" s="714">
        <v>1</v>
      </c>
      <c r="F62" s="715">
        <v>1</v>
      </c>
      <c r="G62" s="715"/>
      <c r="H62" s="717">
        <f t="shared" ref="H62:H63" si="24">IF((E62+G62)/C62&gt;=100%,100%,(E62+G62)/C62)</f>
        <v>1</v>
      </c>
      <c r="I62" s="717">
        <f>IF(F62/D62&gt;=100%,100%,F62/D62)</f>
        <v>1</v>
      </c>
      <c r="J62" s="718" t="s">
        <v>1671</v>
      </c>
      <c r="K62" s="718"/>
      <c r="L62" s="719"/>
      <c r="M62" s="720"/>
      <c r="N62" s="721"/>
      <c r="O62" s="718"/>
      <c r="P62" s="718"/>
      <c r="Q62" s="718"/>
      <c r="R62" s="722"/>
      <c r="S62" s="747"/>
      <c r="T62" s="1164">
        <v>3</v>
      </c>
      <c r="U62" s="725">
        <f>SUM(E62:G62)</f>
        <v>2</v>
      </c>
      <c r="V62" s="726">
        <f>IF(U62/T62&gt;=100%,100%,U62/T62)</f>
        <v>0.66666666666666663</v>
      </c>
      <c r="W62" s="743">
        <v>0.57999999999999996</v>
      </c>
      <c r="X62" s="716">
        <v>0.3</v>
      </c>
      <c r="Y62" s="754"/>
      <c r="Z62" s="744"/>
      <c r="AA62" s="744"/>
      <c r="AB62" s="730" t="e">
        <f t="shared" si="0"/>
        <v>#DIV/0!</v>
      </c>
      <c r="AC62" s="731"/>
      <c r="AD62" s="732" t="e">
        <f t="shared" si="1"/>
        <v>#DIV/0!</v>
      </c>
      <c r="AE62" s="733">
        <f t="shared" si="2"/>
        <v>0</v>
      </c>
      <c r="AF62" s="733"/>
      <c r="AG62" s="733"/>
      <c r="AH62" s="734" t="e">
        <f t="shared" si="3"/>
        <v>#DIV/0!</v>
      </c>
      <c r="AI62" s="754">
        <v>900000000</v>
      </c>
      <c r="AJ62" s="735">
        <f t="shared" si="8"/>
        <v>0</v>
      </c>
      <c r="AK62" s="772">
        <f t="shared" si="4"/>
        <v>0</v>
      </c>
      <c r="AL62" s="737"/>
      <c r="AM62" s="738" t="s">
        <v>1322</v>
      </c>
      <c r="AN62" s="739"/>
      <c r="AO62" s="740" t="s">
        <v>1662</v>
      </c>
      <c r="AP62" s="741"/>
      <c r="AQ62" s="741"/>
    </row>
    <row r="63" spans="1:43" ht="117.75" customHeight="1">
      <c r="A63" s="710" t="s">
        <v>1672</v>
      </c>
      <c r="B63" s="805" t="s">
        <v>1673</v>
      </c>
      <c r="C63" s="806">
        <v>0.1</v>
      </c>
      <c r="D63" s="807">
        <v>0.9</v>
      </c>
      <c r="E63" s="751">
        <v>0.1</v>
      </c>
      <c r="F63" s="732">
        <v>0.9</v>
      </c>
      <c r="G63" s="715"/>
      <c r="H63" s="717">
        <f t="shared" si="24"/>
        <v>1</v>
      </c>
      <c r="I63" s="717">
        <f>IF(F63/D63&gt;=100%,100%,F63/D63)</f>
        <v>1</v>
      </c>
      <c r="J63" s="718" t="s">
        <v>1674</v>
      </c>
      <c r="K63" s="718"/>
      <c r="L63" s="719"/>
      <c r="M63" s="720"/>
      <c r="N63" s="721"/>
      <c r="O63" s="718"/>
      <c r="P63" s="718"/>
      <c r="Q63" s="718"/>
      <c r="R63" s="722"/>
      <c r="S63" s="747"/>
      <c r="T63" s="732">
        <v>1</v>
      </c>
      <c r="U63" s="752">
        <f>+F63</f>
        <v>0.9</v>
      </c>
      <c r="V63" s="753">
        <f>IF(U63/T63&gt;=100%,100%,U63/T63)</f>
        <v>0.9</v>
      </c>
      <c r="W63" s="743">
        <v>0.33</v>
      </c>
      <c r="X63" s="716">
        <v>0.4</v>
      </c>
      <c r="Y63" s="754"/>
      <c r="Z63" s="744"/>
      <c r="AA63" s="744"/>
      <c r="AB63" s="730" t="e">
        <f t="shared" si="0"/>
        <v>#DIV/0!</v>
      </c>
      <c r="AC63" s="731"/>
      <c r="AD63" s="732" t="e">
        <f t="shared" si="1"/>
        <v>#DIV/0!</v>
      </c>
      <c r="AE63" s="733">
        <f t="shared" si="2"/>
        <v>0</v>
      </c>
      <c r="AF63" s="733"/>
      <c r="AG63" s="733"/>
      <c r="AH63" s="734" t="e">
        <f t="shared" si="3"/>
        <v>#DIV/0!</v>
      </c>
      <c r="AI63" s="754">
        <v>4700000000</v>
      </c>
      <c r="AJ63" s="735">
        <f t="shared" si="8"/>
        <v>0</v>
      </c>
      <c r="AK63" s="772">
        <f t="shared" si="4"/>
        <v>0</v>
      </c>
      <c r="AL63" s="737"/>
      <c r="AM63" s="738" t="s">
        <v>1322</v>
      </c>
      <c r="AN63" s="739"/>
      <c r="AO63" s="740" t="s">
        <v>1662</v>
      </c>
      <c r="AP63" s="741"/>
      <c r="AQ63" s="741"/>
    </row>
    <row r="64" spans="1:43" ht="330.75" customHeight="1">
      <c r="A64" s="710" t="s">
        <v>1675</v>
      </c>
      <c r="B64" s="808" t="s">
        <v>1676</v>
      </c>
      <c r="C64" s="803">
        <v>0</v>
      </c>
      <c r="D64" s="804">
        <v>1</v>
      </c>
      <c r="E64" s="714">
        <v>0</v>
      </c>
      <c r="F64" s="715">
        <v>7</v>
      </c>
      <c r="G64" s="715"/>
      <c r="H64" s="717" t="s">
        <v>1536</v>
      </c>
      <c r="I64" s="717">
        <f>IF(F64/D64&gt;=100%,100%,F64/D64)</f>
        <v>1</v>
      </c>
      <c r="J64" s="718" t="s">
        <v>1677</v>
      </c>
      <c r="K64" s="718"/>
      <c r="L64" s="719"/>
      <c r="M64" s="720"/>
      <c r="N64" s="721"/>
      <c r="O64" s="718"/>
      <c r="P64" s="718"/>
      <c r="Q64" s="718"/>
      <c r="R64" s="722"/>
      <c r="S64" s="747"/>
      <c r="T64" s="724">
        <v>5</v>
      </c>
      <c r="U64" s="764">
        <f>SUM(E64:G64)</f>
        <v>7</v>
      </c>
      <c r="V64" s="753">
        <f>IF(U64/T64&gt;=100%,100%,U64/T64)</f>
        <v>1</v>
      </c>
      <c r="W64" s="743">
        <v>0.2</v>
      </c>
      <c r="X64" s="716">
        <v>0.15</v>
      </c>
      <c r="Y64" s="754"/>
      <c r="Z64" s="744"/>
      <c r="AA64" s="744"/>
      <c r="AB64" s="730" t="e">
        <f t="shared" si="0"/>
        <v>#DIV/0!</v>
      </c>
      <c r="AC64" s="731"/>
      <c r="AD64" s="732" t="e">
        <f t="shared" si="1"/>
        <v>#DIV/0!</v>
      </c>
      <c r="AE64" s="733">
        <f t="shared" si="2"/>
        <v>0</v>
      </c>
      <c r="AF64" s="733"/>
      <c r="AG64" s="733"/>
      <c r="AH64" s="734" t="e">
        <f t="shared" si="3"/>
        <v>#DIV/0!</v>
      </c>
      <c r="AI64" s="754">
        <v>2400000000</v>
      </c>
      <c r="AJ64" s="735">
        <f t="shared" si="8"/>
        <v>0</v>
      </c>
      <c r="AK64" s="772">
        <f t="shared" si="4"/>
        <v>0</v>
      </c>
      <c r="AL64" s="737"/>
      <c r="AM64" s="738" t="s">
        <v>1322</v>
      </c>
      <c r="AN64" s="739"/>
      <c r="AO64" s="1264" t="s">
        <v>1662</v>
      </c>
      <c r="AP64" s="741"/>
      <c r="AQ64" s="741"/>
    </row>
    <row r="65" spans="1:43" ht="64.5" customHeight="1" thickBot="1">
      <c r="A65" s="710" t="s">
        <v>1678</v>
      </c>
      <c r="B65" s="809" t="s">
        <v>1679</v>
      </c>
      <c r="C65" s="803">
        <v>0</v>
      </c>
      <c r="D65" s="804">
        <v>1</v>
      </c>
      <c r="E65" s="714">
        <v>0</v>
      </c>
      <c r="F65" s="715">
        <v>2</v>
      </c>
      <c r="G65" s="715"/>
      <c r="H65" s="717" t="s">
        <v>1541</v>
      </c>
      <c r="I65" s="717">
        <f>IF(F65/D65&gt;=100%,100%,F65/D65)</f>
        <v>1</v>
      </c>
      <c r="J65" s="718" t="s">
        <v>1680</v>
      </c>
      <c r="K65" s="718"/>
      <c r="L65" s="719"/>
      <c r="M65" s="720"/>
      <c r="N65" s="721"/>
      <c r="O65" s="718"/>
      <c r="P65" s="718"/>
      <c r="Q65" s="718"/>
      <c r="R65" s="722"/>
      <c r="S65" s="718"/>
      <c r="T65" s="724">
        <v>5</v>
      </c>
      <c r="U65" s="764">
        <f>SUM(E65:G65)</f>
        <v>2</v>
      </c>
      <c r="V65" s="753">
        <f>IF(U65/T65&gt;=100%,100%,U65/T65)</f>
        <v>0.4</v>
      </c>
      <c r="W65" s="743">
        <v>0.2</v>
      </c>
      <c r="X65" s="716">
        <v>0.15</v>
      </c>
      <c r="Y65" s="754"/>
      <c r="Z65" s="744"/>
      <c r="AA65" s="744"/>
      <c r="AB65" s="730" t="e">
        <f t="shared" si="0"/>
        <v>#DIV/0!</v>
      </c>
      <c r="AC65" s="731"/>
      <c r="AD65" s="732" t="e">
        <f t="shared" si="1"/>
        <v>#DIV/0!</v>
      </c>
      <c r="AE65" s="733">
        <f t="shared" si="2"/>
        <v>0</v>
      </c>
      <c r="AF65" s="733"/>
      <c r="AG65" s="733"/>
      <c r="AH65" s="734" t="e">
        <f t="shared" si="3"/>
        <v>#DIV/0!</v>
      </c>
      <c r="AI65" s="754">
        <v>800000000</v>
      </c>
      <c r="AJ65" s="735">
        <f t="shared" si="8"/>
        <v>0</v>
      </c>
      <c r="AK65" s="772">
        <f t="shared" si="4"/>
        <v>0</v>
      </c>
      <c r="AL65" s="737"/>
      <c r="AM65" s="738" t="s">
        <v>1322</v>
      </c>
      <c r="AN65" s="739"/>
      <c r="AO65" s="1266"/>
      <c r="AP65" s="741"/>
      <c r="AQ65" s="741"/>
    </row>
    <row r="66" spans="1:43" s="709" customFormat="1" ht="25.5">
      <c r="A66" s="640" t="s">
        <v>1681</v>
      </c>
      <c r="B66" s="641"/>
      <c r="C66" s="642"/>
      <c r="D66" s="810"/>
      <c r="E66" s="642"/>
      <c r="F66" s="644"/>
      <c r="G66" s="644"/>
      <c r="H66" s="645">
        <f>+(H67*W67)+(H107*W107)</f>
        <v>0.99999999999999989</v>
      </c>
      <c r="I66" s="645">
        <f>+(I67*X67)+(I107*X107)</f>
        <v>0.91204166666666664</v>
      </c>
      <c r="J66" s="811"/>
      <c r="K66" s="811"/>
      <c r="L66" s="647"/>
      <c r="M66" s="648"/>
      <c r="N66" s="648"/>
      <c r="O66" s="811"/>
      <c r="P66" s="811"/>
      <c r="Q66" s="811"/>
      <c r="R66" s="811"/>
      <c r="S66" s="811"/>
      <c r="T66" s="812"/>
      <c r="U66" s="813"/>
      <c r="V66" s="814">
        <f>+(V67*W67)+(V107*W107)</f>
        <v>0.48595400952380952</v>
      </c>
      <c r="W66" s="815">
        <v>0.35</v>
      </c>
      <c r="X66" s="815">
        <v>0.35</v>
      </c>
      <c r="Y66" s="816">
        <f>+Y67+Y107</f>
        <v>17468183390</v>
      </c>
      <c r="Z66" s="816">
        <f>+Z67+Z107</f>
        <v>3769259577</v>
      </c>
      <c r="AA66" s="816">
        <f>+AA67+AA107</f>
        <v>16097354847.26</v>
      </c>
      <c r="AB66" s="817">
        <f t="shared" si="0"/>
        <v>0.9215242643076007</v>
      </c>
      <c r="AC66" s="656">
        <f>+AC67+AC107</f>
        <v>7098869826.7799997</v>
      </c>
      <c r="AD66" s="818">
        <f t="shared" si="1"/>
        <v>0.40638855617029329</v>
      </c>
      <c r="AE66" s="819">
        <f t="shared" si="2"/>
        <v>8998485020.4799995</v>
      </c>
      <c r="AF66" s="816">
        <f>+AF67+AF107</f>
        <v>2564933639</v>
      </c>
      <c r="AG66" s="816">
        <f>+AG67+AG107</f>
        <v>2490093189</v>
      </c>
      <c r="AH66" s="660">
        <f t="shared" si="3"/>
        <v>0.97082168175345918</v>
      </c>
      <c r="AI66" s="656">
        <f>+AI67+AI107</f>
        <v>36554551175.959999</v>
      </c>
      <c r="AJ66" s="656">
        <f>+AJ67+AJ107</f>
        <v>19866614424.260002</v>
      </c>
      <c r="AK66" s="815">
        <f t="shared" si="4"/>
        <v>0.5434785487757603</v>
      </c>
      <c r="AL66" s="820"/>
      <c r="AM66" s="821"/>
      <c r="AN66" s="822"/>
      <c r="AO66" s="823"/>
      <c r="AP66" s="824"/>
      <c r="AQ66" s="824"/>
    </row>
    <row r="67" spans="1:43" s="709" customFormat="1" ht="36.75" customHeight="1">
      <c r="A67" s="666" t="s">
        <v>1682</v>
      </c>
      <c r="B67" s="783"/>
      <c r="C67" s="784"/>
      <c r="D67" s="785"/>
      <c r="E67" s="784"/>
      <c r="F67" s="786"/>
      <c r="G67" s="786"/>
      <c r="H67" s="671">
        <f>+(H68*W68)+(H73*W73)+(H78*W78)+(H87*W87)+(H92*W92)+(H103*W103)</f>
        <v>1</v>
      </c>
      <c r="I67" s="825">
        <f>+(I68*X68)+(I73*X73)+(I78*X78)+(I87*X87)+(I92*X92)+(I103*X103)</f>
        <v>0.87083333333333335</v>
      </c>
      <c r="J67" s="826"/>
      <c r="K67" s="826"/>
      <c r="L67" s="787"/>
      <c r="M67" s="783"/>
      <c r="N67" s="783"/>
      <c r="O67" s="826"/>
      <c r="P67" s="826"/>
      <c r="Q67" s="826"/>
      <c r="R67" s="789"/>
      <c r="S67" s="826"/>
      <c r="T67" s="827"/>
      <c r="U67" s="792"/>
      <c r="V67" s="671">
        <f>+(V68*W68)+(V73*W73)+(V78*W78)+(V87*W87)+(V92*W92)+(V103*W103)</f>
        <v>0.56786000000000003</v>
      </c>
      <c r="W67" s="671">
        <v>0.56999999999999995</v>
      </c>
      <c r="X67" s="671">
        <v>0.56999999999999995</v>
      </c>
      <c r="Y67" s="828">
        <f>+Y68+Y73+Y78+Y87+Y92+Y103</f>
        <v>12232183390</v>
      </c>
      <c r="Z67" s="828">
        <f>+Z68+Z73+Z78+Z87+Z92+Z103</f>
        <v>2105594404</v>
      </c>
      <c r="AA67" s="828">
        <f>+AA68+AA73+AA78+AA87+AA92+AA103</f>
        <v>11165772211</v>
      </c>
      <c r="AB67" s="679">
        <f t="shared" si="0"/>
        <v>0.91281922899620627</v>
      </c>
      <c r="AC67" s="678">
        <f>+AC68+AC73+AC78+AC87+AC92+AC103</f>
        <v>3483287190.5199995</v>
      </c>
      <c r="AD67" s="829">
        <f t="shared" si="1"/>
        <v>0.28476414058406291</v>
      </c>
      <c r="AE67" s="830">
        <f t="shared" si="2"/>
        <v>7682485020.4800005</v>
      </c>
      <c r="AF67" s="828">
        <f>+AF68+AF73+AF78+AF87+AF92+AF103</f>
        <v>502530071</v>
      </c>
      <c r="AG67" s="828">
        <f>+AG68+AG73+AG78+AG87+AG92+AG103</f>
        <v>474740371</v>
      </c>
      <c r="AH67" s="793">
        <f t="shared" si="3"/>
        <v>0.94470042370857443</v>
      </c>
      <c r="AI67" s="678">
        <f>+AI68+AI73+AI78+AI87+AI92+AI103</f>
        <v>18856198123.959999</v>
      </c>
      <c r="AJ67" s="678">
        <f>+AJ68+AJ73+AJ78+AJ87+AJ92+AJ103</f>
        <v>13271366615</v>
      </c>
      <c r="AK67" s="831">
        <f t="shared" si="4"/>
        <v>0.70381985423331317</v>
      </c>
      <c r="AL67" s="832"/>
      <c r="AM67" s="683" t="s">
        <v>1318</v>
      </c>
      <c r="AN67" s="684"/>
      <c r="AO67" s="685"/>
      <c r="AP67" s="833"/>
      <c r="AQ67" s="833"/>
    </row>
    <row r="68" spans="1:43" s="709" customFormat="1" ht="61.5" customHeight="1">
      <c r="A68" s="687" t="s">
        <v>1683</v>
      </c>
      <c r="B68" s="688"/>
      <c r="C68" s="689"/>
      <c r="D68" s="690"/>
      <c r="E68" s="689"/>
      <c r="F68" s="691"/>
      <c r="G68" s="691"/>
      <c r="H68" s="693">
        <f>+H69*100%</f>
        <v>1</v>
      </c>
      <c r="I68" s="693">
        <f>+SUMPRODUCT(I69:I72,X69:X72)</f>
        <v>1</v>
      </c>
      <c r="J68" s="834"/>
      <c r="K68" s="834"/>
      <c r="L68" s="694"/>
      <c r="M68" s="688"/>
      <c r="N68" s="688"/>
      <c r="O68" s="834"/>
      <c r="P68" s="834"/>
      <c r="Q68" s="834"/>
      <c r="R68" s="770"/>
      <c r="S68" s="834"/>
      <c r="T68" s="835"/>
      <c r="U68" s="697"/>
      <c r="V68" s="693">
        <f>+SUMPRODUCT(V69:V72,W69:W72)</f>
        <v>0.70500000000000007</v>
      </c>
      <c r="W68" s="693">
        <v>0.1</v>
      </c>
      <c r="X68" s="693">
        <v>0.1</v>
      </c>
      <c r="Y68" s="836">
        <v>9330183390</v>
      </c>
      <c r="Z68" s="836">
        <v>8919489</v>
      </c>
      <c r="AA68" s="836">
        <v>8651645903</v>
      </c>
      <c r="AB68" s="700">
        <f t="shared" si="0"/>
        <v>0.92727501072194896</v>
      </c>
      <c r="AC68" s="699">
        <v>1604736545.3199999</v>
      </c>
      <c r="AD68" s="698">
        <f t="shared" si="1"/>
        <v>0.17199410539346321</v>
      </c>
      <c r="AE68" s="837">
        <f t="shared" si="2"/>
        <v>7046909357.6800003</v>
      </c>
      <c r="AF68" s="837"/>
      <c r="AG68" s="837"/>
      <c r="AH68" s="703" t="e">
        <f t="shared" si="3"/>
        <v>#DIV/0!</v>
      </c>
      <c r="AI68" s="699">
        <f>SUM(AI69:AI72)</f>
        <v>2700000000</v>
      </c>
      <c r="AJ68" s="699">
        <f>+SUM(Z68:AA68)</f>
        <v>8660565392</v>
      </c>
      <c r="AK68" s="838">
        <f t="shared" si="4"/>
        <v>3.2076168118518518</v>
      </c>
      <c r="AL68" s="839"/>
      <c r="AM68" s="705" t="s">
        <v>1318</v>
      </c>
      <c r="AN68" s="706"/>
      <c r="AO68" s="707"/>
      <c r="AP68" s="708"/>
      <c r="AQ68" s="708"/>
    </row>
    <row r="69" spans="1:43" ht="87" customHeight="1">
      <c r="A69" s="840" t="s">
        <v>1684</v>
      </c>
      <c r="B69" s="809" t="s">
        <v>1685</v>
      </c>
      <c r="C69" s="841">
        <v>1</v>
      </c>
      <c r="D69" s="842">
        <v>2</v>
      </c>
      <c r="E69" s="714">
        <v>1</v>
      </c>
      <c r="F69" s="715">
        <v>2</v>
      </c>
      <c r="G69" s="715"/>
      <c r="H69" s="717">
        <f t="shared" ref="H69" si="25">IF((E69+G69)/C69&gt;=100%,100%,(E69+G69)/C69)</f>
        <v>1</v>
      </c>
      <c r="I69" s="717">
        <f>IF(F69/D69&gt;=100%,100%,F69/D69)</f>
        <v>1</v>
      </c>
      <c r="J69" s="843" t="s">
        <v>1686</v>
      </c>
      <c r="K69" s="843"/>
      <c r="L69" s="719"/>
      <c r="M69" s="720"/>
      <c r="N69" s="721"/>
      <c r="O69" s="843"/>
      <c r="P69" s="843"/>
      <c r="Q69" s="843"/>
      <c r="R69" s="722"/>
      <c r="S69" s="843"/>
      <c r="T69" s="844">
        <v>5</v>
      </c>
      <c r="U69" s="725">
        <f>SUM(E69:G69)</f>
        <v>3</v>
      </c>
      <c r="V69" s="726">
        <f>IF(U69/T69&gt;=100%,100%,U69/T69)</f>
        <v>0.6</v>
      </c>
      <c r="W69" s="743">
        <v>0.55000000000000004</v>
      </c>
      <c r="X69" s="716">
        <v>0.2</v>
      </c>
      <c r="Y69" s="754"/>
      <c r="Z69" s="845"/>
      <c r="AA69" s="845"/>
      <c r="AB69" s="730" t="e">
        <f t="shared" si="0"/>
        <v>#DIV/0!</v>
      </c>
      <c r="AC69" s="846"/>
      <c r="AD69" s="847" t="e">
        <f t="shared" si="1"/>
        <v>#DIV/0!</v>
      </c>
      <c r="AE69" s="848">
        <f t="shared" si="2"/>
        <v>0</v>
      </c>
      <c r="AF69" s="848"/>
      <c r="AG69" s="848"/>
      <c r="AH69" s="734" t="e">
        <f t="shared" si="3"/>
        <v>#DIV/0!</v>
      </c>
      <c r="AI69" s="754">
        <v>1600000000</v>
      </c>
      <c r="AJ69" s="849">
        <f t="shared" si="8"/>
        <v>0</v>
      </c>
      <c r="AK69" s="850">
        <f t="shared" si="4"/>
        <v>0</v>
      </c>
      <c r="AL69" s="851"/>
      <c r="AM69" s="738" t="s">
        <v>1318</v>
      </c>
      <c r="AN69" s="739"/>
      <c r="AO69" s="1276" t="s">
        <v>1687</v>
      </c>
      <c r="AP69" s="741"/>
      <c r="AQ69" s="741"/>
    </row>
    <row r="70" spans="1:43" ht="68.25" customHeight="1" thickBot="1">
      <c r="A70" s="745" t="s">
        <v>1688</v>
      </c>
      <c r="B70" s="809" t="s">
        <v>1689</v>
      </c>
      <c r="C70" s="841">
        <v>0</v>
      </c>
      <c r="D70" s="842">
        <v>1</v>
      </c>
      <c r="E70" s="714">
        <v>0</v>
      </c>
      <c r="F70" s="715">
        <v>2</v>
      </c>
      <c r="G70" s="715"/>
      <c r="H70" s="717" t="s">
        <v>1536</v>
      </c>
      <c r="I70" s="717">
        <f>IF(F70/D70&gt;=100%,100%,F70/D70)</f>
        <v>1</v>
      </c>
      <c r="J70" s="852" t="s">
        <v>1690</v>
      </c>
      <c r="K70" s="852"/>
      <c r="L70" s="719"/>
      <c r="M70" s="720"/>
      <c r="N70" s="721"/>
      <c r="O70" s="852"/>
      <c r="P70" s="852"/>
      <c r="Q70" s="852"/>
      <c r="R70" s="722"/>
      <c r="S70" s="852"/>
      <c r="T70" s="725">
        <v>2</v>
      </c>
      <c r="U70" s="725">
        <f t="shared" ref="U70:U72" si="26">SUM(E70:G70)</f>
        <v>2</v>
      </c>
      <c r="V70" s="726">
        <f>IF(U70/T70&gt;=100%,100%,U70/T70)</f>
        <v>1</v>
      </c>
      <c r="W70" s="743">
        <v>0.3</v>
      </c>
      <c r="X70" s="716">
        <v>0.6</v>
      </c>
      <c r="Y70" s="754"/>
      <c r="Z70" s="845"/>
      <c r="AA70" s="845"/>
      <c r="AB70" s="730" t="e">
        <f t="shared" si="0"/>
        <v>#DIV/0!</v>
      </c>
      <c r="AC70" s="846"/>
      <c r="AD70" s="847" t="e">
        <f t="shared" si="1"/>
        <v>#DIV/0!</v>
      </c>
      <c r="AE70" s="848">
        <f t="shared" si="2"/>
        <v>0</v>
      </c>
      <c r="AF70" s="848"/>
      <c r="AG70" s="848"/>
      <c r="AH70" s="734" t="e">
        <f t="shared" si="3"/>
        <v>#DIV/0!</v>
      </c>
      <c r="AI70" s="754">
        <v>738057118</v>
      </c>
      <c r="AJ70" s="849">
        <f t="shared" si="8"/>
        <v>0</v>
      </c>
      <c r="AK70" s="850">
        <f>+AJ70/AI70</f>
        <v>0</v>
      </c>
      <c r="AL70" s="851"/>
      <c r="AM70" s="738" t="s">
        <v>1318</v>
      </c>
      <c r="AN70" s="739" t="s">
        <v>557</v>
      </c>
      <c r="AO70" s="1266"/>
      <c r="AP70" s="741"/>
      <c r="AQ70" s="741"/>
    </row>
    <row r="71" spans="1:43" ht="72.75" customHeight="1">
      <c r="A71" s="710" t="s">
        <v>1691</v>
      </c>
      <c r="B71" s="809" t="s">
        <v>1692</v>
      </c>
      <c r="C71" s="841">
        <v>0</v>
      </c>
      <c r="D71" s="842">
        <v>1</v>
      </c>
      <c r="E71" s="714">
        <v>0</v>
      </c>
      <c r="F71" s="715">
        <v>1</v>
      </c>
      <c r="G71" s="715"/>
      <c r="H71" s="717" t="s">
        <v>1536</v>
      </c>
      <c r="I71" s="717">
        <f>IF(F71/D71&gt;=100%,100%,F71/D71)</f>
        <v>1</v>
      </c>
      <c r="J71" s="853" t="s">
        <v>1693</v>
      </c>
      <c r="K71" s="853"/>
      <c r="L71" s="719"/>
      <c r="M71" s="720"/>
      <c r="N71" s="721"/>
      <c r="O71" s="853"/>
      <c r="P71" s="853"/>
      <c r="Q71" s="853"/>
      <c r="R71" s="722"/>
      <c r="S71" s="853"/>
      <c r="T71" s="854">
        <v>2</v>
      </c>
      <c r="U71" s="725">
        <f t="shared" si="26"/>
        <v>1</v>
      </c>
      <c r="V71" s="726">
        <f>IF(U71/T71&gt;=100%,100%,U71/T71)</f>
        <v>0.5</v>
      </c>
      <c r="W71" s="743">
        <v>0.08</v>
      </c>
      <c r="X71" s="716">
        <v>0.1</v>
      </c>
      <c r="Y71" s="754"/>
      <c r="Z71" s="845"/>
      <c r="AA71" s="845"/>
      <c r="AB71" s="730" t="e">
        <f t="shared" si="0"/>
        <v>#DIV/0!</v>
      </c>
      <c r="AC71" s="846"/>
      <c r="AD71" s="847" t="e">
        <f t="shared" si="1"/>
        <v>#DIV/0!</v>
      </c>
      <c r="AE71" s="848">
        <f t="shared" si="2"/>
        <v>0</v>
      </c>
      <c r="AF71" s="848"/>
      <c r="AG71" s="848"/>
      <c r="AH71" s="734" t="e">
        <f t="shared" si="3"/>
        <v>#DIV/0!</v>
      </c>
      <c r="AI71" s="754">
        <v>300000000</v>
      </c>
      <c r="AJ71" s="855">
        <f t="shared" si="8"/>
        <v>0</v>
      </c>
      <c r="AK71" s="856">
        <f t="shared" si="4"/>
        <v>0</v>
      </c>
      <c r="AL71" s="857"/>
      <c r="AM71" s="738" t="s">
        <v>1318</v>
      </c>
      <c r="AN71" s="739"/>
      <c r="AO71" s="1276" t="s">
        <v>1687</v>
      </c>
      <c r="AP71" s="741"/>
      <c r="AQ71" s="741"/>
    </row>
    <row r="72" spans="1:43" ht="65.25" customHeight="1">
      <c r="A72" s="710" t="s">
        <v>1694</v>
      </c>
      <c r="B72" s="809" t="s">
        <v>1695</v>
      </c>
      <c r="C72" s="841">
        <v>0</v>
      </c>
      <c r="D72" s="842">
        <v>1</v>
      </c>
      <c r="E72" s="714">
        <v>0</v>
      </c>
      <c r="F72" s="715">
        <v>1</v>
      </c>
      <c r="G72" s="715"/>
      <c r="H72" s="717" t="s">
        <v>1536</v>
      </c>
      <c r="I72" s="717">
        <f>IF(F72/D72&gt;=100%,100%,F72/D72)</f>
        <v>1</v>
      </c>
      <c r="J72" s="858" t="s">
        <v>1696</v>
      </c>
      <c r="K72" s="858"/>
      <c r="L72" s="719"/>
      <c r="M72" s="720"/>
      <c r="N72" s="721"/>
      <c r="O72" s="858"/>
      <c r="P72" s="858"/>
      <c r="Q72" s="858"/>
      <c r="R72" s="722"/>
      <c r="S72" s="858"/>
      <c r="T72" s="854">
        <v>2</v>
      </c>
      <c r="U72" s="725">
        <f t="shared" si="26"/>
        <v>1</v>
      </c>
      <c r="V72" s="726">
        <f>IF(U72/T72&gt;=100%,100%,U72/T72)</f>
        <v>0.5</v>
      </c>
      <c r="W72" s="743">
        <v>7.0000000000000007E-2</v>
      </c>
      <c r="X72" s="716">
        <v>0.1</v>
      </c>
      <c r="Y72" s="754"/>
      <c r="Z72" s="845"/>
      <c r="AA72" s="845"/>
      <c r="AB72" s="730" t="e">
        <f t="shared" ref="AB72:AB86" si="27">+AA72/Y72</f>
        <v>#DIV/0!</v>
      </c>
      <c r="AC72" s="846"/>
      <c r="AD72" s="847" t="e">
        <f t="shared" si="1"/>
        <v>#DIV/0!</v>
      </c>
      <c r="AE72" s="848">
        <f t="shared" si="2"/>
        <v>0</v>
      </c>
      <c r="AF72" s="848"/>
      <c r="AG72" s="848"/>
      <c r="AH72" s="734" t="e">
        <f t="shared" si="3"/>
        <v>#DIV/0!</v>
      </c>
      <c r="AI72" s="754">
        <v>61942882</v>
      </c>
      <c r="AJ72" s="855">
        <f t="shared" si="8"/>
        <v>0</v>
      </c>
      <c r="AK72" s="856">
        <f t="shared" si="4"/>
        <v>0</v>
      </c>
      <c r="AL72" s="859"/>
      <c r="AM72" s="738" t="s">
        <v>1318</v>
      </c>
      <c r="AN72" s="739"/>
      <c r="AO72" s="1266"/>
      <c r="AP72" s="741"/>
      <c r="AQ72" s="741"/>
    </row>
    <row r="73" spans="1:43" s="709" customFormat="1" ht="63.75">
      <c r="A73" s="687" t="s">
        <v>1697</v>
      </c>
      <c r="B73" s="688"/>
      <c r="C73" s="689"/>
      <c r="D73" s="690"/>
      <c r="E73" s="689"/>
      <c r="F73" s="691"/>
      <c r="G73" s="691"/>
      <c r="H73" s="693">
        <f>(H74*50%)+(H75*50%)</f>
        <v>1</v>
      </c>
      <c r="I73" s="693">
        <f>+SUMPRODUCT(I74:I77,X74:X77)</f>
        <v>1</v>
      </c>
      <c r="J73" s="834"/>
      <c r="K73" s="834"/>
      <c r="L73" s="694"/>
      <c r="M73" s="688"/>
      <c r="N73" s="688"/>
      <c r="O73" s="834"/>
      <c r="P73" s="834"/>
      <c r="Q73" s="834"/>
      <c r="R73" s="770"/>
      <c r="S73" s="834"/>
      <c r="T73" s="835"/>
      <c r="U73" s="697"/>
      <c r="V73" s="693">
        <f>+SUMPRODUCT(V74:V77,W74:W77)</f>
        <v>0.94399999999999995</v>
      </c>
      <c r="W73" s="693">
        <v>0.1</v>
      </c>
      <c r="X73" s="693">
        <v>0.1</v>
      </c>
      <c r="Y73" s="699">
        <v>444000000</v>
      </c>
      <c r="Z73" s="699">
        <v>5000000</v>
      </c>
      <c r="AA73" s="699">
        <v>393095718</v>
      </c>
      <c r="AB73" s="700">
        <f t="shared" si="27"/>
        <v>0.88535071621621619</v>
      </c>
      <c r="AC73" s="699">
        <v>293095718</v>
      </c>
      <c r="AD73" s="698">
        <f t="shared" ref="AD73:AD136" si="28">+AC73/Y73</f>
        <v>0.66012549099099094</v>
      </c>
      <c r="AE73" s="837">
        <f t="shared" ref="AE73:AE136" si="29">+AA73-AC73</f>
        <v>100000000</v>
      </c>
      <c r="AF73" s="837"/>
      <c r="AG73" s="837"/>
      <c r="AH73" s="703" t="e">
        <f t="shared" ref="AH73:AH136" si="30">+AG73/AF73</f>
        <v>#DIV/0!</v>
      </c>
      <c r="AI73" s="699">
        <f>SUM(AI74:AI77)</f>
        <v>1300000000</v>
      </c>
      <c r="AJ73" s="699">
        <f>+SUM(Z73:AA73)</f>
        <v>398095718</v>
      </c>
      <c r="AK73" s="838">
        <f t="shared" ref="AK73:AK136" si="31">+AJ73/AI73</f>
        <v>0.30622747538461537</v>
      </c>
      <c r="AL73" s="839"/>
      <c r="AM73" s="705" t="s">
        <v>1318</v>
      </c>
      <c r="AN73" s="706"/>
      <c r="AO73" s="707"/>
      <c r="AP73" s="708"/>
      <c r="AQ73" s="708"/>
    </row>
    <row r="74" spans="1:43" ht="139.5" customHeight="1">
      <c r="A74" s="710" t="s">
        <v>1698</v>
      </c>
      <c r="B74" s="860" t="s">
        <v>1699</v>
      </c>
      <c r="C74" s="861">
        <v>1</v>
      </c>
      <c r="D74" s="862">
        <v>1</v>
      </c>
      <c r="E74" s="714">
        <v>1</v>
      </c>
      <c r="F74" s="715">
        <v>4</v>
      </c>
      <c r="G74" s="715"/>
      <c r="H74" s="717">
        <f t="shared" ref="H74:H75" si="32">IF((E74+G74)/C74&gt;=100%,100%,(E74+G74)/C74)</f>
        <v>1</v>
      </c>
      <c r="I74" s="717">
        <f>IF(F74/D74&gt;=100%,100%,F74/D74)</f>
        <v>1</v>
      </c>
      <c r="J74" s="843" t="s">
        <v>1700</v>
      </c>
      <c r="K74" s="843"/>
      <c r="L74" s="719"/>
      <c r="M74" s="720"/>
      <c r="N74" s="721"/>
      <c r="O74" s="843"/>
      <c r="P74" s="843"/>
      <c r="Q74" s="843"/>
      <c r="R74" s="722"/>
      <c r="S74" s="843"/>
      <c r="T74" s="844">
        <v>3</v>
      </c>
      <c r="U74" s="725">
        <f>SUM(E74:G74)</f>
        <v>5</v>
      </c>
      <c r="V74" s="726">
        <f>IF(U74/T74&gt;=100%,100%,U74/T74)</f>
        <v>1</v>
      </c>
      <c r="W74" s="743">
        <v>0.22</v>
      </c>
      <c r="X74" s="716">
        <v>0.2</v>
      </c>
      <c r="Y74" s="754"/>
      <c r="Z74" s="845"/>
      <c r="AA74" s="845"/>
      <c r="AB74" s="730" t="e">
        <f t="shared" si="27"/>
        <v>#DIV/0!</v>
      </c>
      <c r="AC74" s="846"/>
      <c r="AD74" s="847" t="e">
        <f t="shared" si="28"/>
        <v>#DIV/0!</v>
      </c>
      <c r="AE74" s="848">
        <f t="shared" si="29"/>
        <v>0</v>
      </c>
      <c r="AF74" s="848"/>
      <c r="AG74" s="848"/>
      <c r="AH74" s="734" t="e">
        <f t="shared" si="30"/>
        <v>#DIV/0!</v>
      </c>
      <c r="AI74" s="754">
        <v>250000000</v>
      </c>
      <c r="AJ74" s="849">
        <f t="shared" si="8"/>
        <v>0</v>
      </c>
      <c r="AK74" s="850">
        <f t="shared" si="31"/>
        <v>0</v>
      </c>
      <c r="AL74" s="851"/>
      <c r="AM74" s="738" t="s">
        <v>1318</v>
      </c>
      <c r="AN74" s="739"/>
      <c r="AO74" s="863" t="s">
        <v>1687</v>
      </c>
      <c r="AP74" s="741"/>
      <c r="AQ74" s="741"/>
    </row>
    <row r="75" spans="1:43" ht="39" thickBot="1">
      <c r="A75" s="710" t="s">
        <v>1701</v>
      </c>
      <c r="B75" s="860" t="s">
        <v>1702</v>
      </c>
      <c r="C75" s="864">
        <v>0.3</v>
      </c>
      <c r="D75" s="865">
        <v>0.7</v>
      </c>
      <c r="E75" s="751">
        <v>0.3</v>
      </c>
      <c r="F75" s="732">
        <v>0.7</v>
      </c>
      <c r="G75" s="715"/>
      <c r="H75" s="717">
        <f t="shared" si="32"/>
        <v>1</v>
      </c>
      <c r="I75" s="717">
        <f>IF(F75/D75&gt;=100%,100%,F75/D75)</f>
        <v>1</v>
      </c>
      <c r="J75" s="852" t="s">
        <v>1703</v>
      </c>
      <c r="K75" s="852"/>
      <c r="L75" s="719"/>
      <c r="M75" s="720"/>
      <c r="N75" s="721"/>
      <c r="O75" s="852"/>
      <c r="P75" s="852"/>
      <c r="Q75" s="852"/>
      <c r="R75" s="722"/>
      <c r="S75" s="852"/>
      <c r="T75" s="716">
        <v>1</v>
      </c>
      <c r="U75" s="752">
        <f t="shared" ref="U75:U77" si="33">SUM(E75:G75)</f>
        <v>1</v>
      </c>
      <c r="V75" s="726">
        <f>IF(U75/T75&gt;=100%,100%,U75/T75)</f>
        <v>1</v>
      </c>
      <c r="W75" s="743">
        <v>0.22</v>
      </c>
      <c r="X75" s="716">
        <v>0.4</v>
      </c>
      <c r="Y75" s="754"/>
      <c r="Z75" s="845"/>
      <c r="AA75" s="845"/>
      <c r="AB75" s="730" t="e">
        <f t="shared" si="27"/>
        <v>#DIV/0!</v>
      </c>
      <c r="AC75" s="846"/>
      <c r="AD75" s="847" t="e">
        <f t="shared" si="28"/>
        <v>#DIV/0!</v>
      </c>
      <c r="AE75" s="848">
        <f t="shared" si="29"/>
        <v>0</v>
      </c>
      <c r="AF75" s="848"/>
      <c r="AG75" s="848"/>
      <c r="AH75" s="734" t="e">
        <f t="shared" si="30"/>
        <v>#DIV/0!</v>
      </c>
      <c r="AI75" s="754">
        <v>180000000</v>
      </c>
      <c r="AJ75" s="849">
        <f>+SUM(Z75:AA75)</f>
        <v>0</v>
      </c>
      <c r="AK75" s="850">
        <f>+AJ75/AI75</f>
        <v>0</v>
      </c>
      <c r="AL75" s="851"/>
      <c r="AM75" s="738" t="s">
        <v>1318</v>
      </c>
      <c r="AN75" s="739"/>
      <c r="AO75" s="863" t="s">
        <v>1687</v>
      </c>
      <c r="AP75" s="741"/>
      <c r="AQ75" s="741"/>
    </row>
    <row r="76" spans="1:43" ht="121.5" customHeight="1">
      <c r="A76" s="710" t="s">
        <v>1704</v>
      </c>
      <c r="B76" s="860" t="s">
        <v>1705</v>
      </c>
      <c r="C76" s="861">
        <v>0</v>
      </c>
      <c r="D76" s="862">
        <v>1</v>
      </c>
      <c r="E76" s="714">
        <v>0</v>
      </c>
      <c r="F76" s="715">
        <v>3</v>
      </c>
      <c r="G76" s="715"/>
      <c r="H76" s="717" t="s">
        <v>1536</v>
      </c>
      <c r="I76" s="717">
        <f>IF(F76/D76&gt;=100%,100%,F76/D76)</f>
        <v>1</v>
      </c>
      <c r="J76" s="853" t="s">
        <v>1706</v>
      </c>
      <c r="K76" s="853"/>
      <c r="L76" s="719"/>
      <c r="M76" s="720"/>
      <c r="N76" s="721"/>
      <c r="O76" s="853"/>
      <c r="P76" s="853"/>
      <c r="Q76" s="853"/>
      <c r="R76" s="722"/>
      <c r="S76" s="853"/>
      <c r="T76" s="854">
        <v>3</v>
      </c>
      <c r="U76" s="725">
        <f t="shared" si="33"/>
        <v>3</v>
      </c>
      <c r="V76" s="726">
        <f>IF(U76/T76&gt;=100%,100%,U76/T76)</f>
        <v>1</v>
      </c>
      <c r="W76" s="743">
        <v>0.28000000000000003</v>
      </c>
      <c r="X76" s="716">
        <v>0.2</v>
      </c>
      <c r="Y76" s="754"/>
      <c r="Z76" s="845"/>
      <c r="AA76" s="845"/>
      <c r="AB76" s="730" t="e">
        <f t="shared" si="27"/>
        <v>#DIV/0!</v>
      </c>
      <c r="AC76" s="846"/>
      <c r="AD76" s="847" t="e">
        <f t="shared" si="28"/>
        <v>#DIV/0!</v>
      </c>
      <c r="AE76" s="848">
        <f t="shared" si="29"/>
        <v>0</v>
      </c>
      <c r="AF76" s="848"/>
      <c r="AG76" s="848"/>
      <c r="AH76" s="734" t="e">
        <f t="shared" si="30"/>
        <v>#DIV/0!</v>
      </c>
      <c r="AI76" s="754">
        <v>500000000</v>
      </c>
      <c r="AJ76" s="849">
        <f>+SUM(Z76:AA76)</f>
        <v>0</v>
      </c>
      <c r="AK76" s="850">
        <f>+AJ76/AI76</f>
        <v>0</v>
      </c>
      <c r="AL76" s="851"/>
      <c r="AM76" s="738" t="s">
        <v>1318</v>
      </c>
      <c r="AN76" s="739"/>
      <c r="AO76" s="1276" t="s">
        <v>1687</v>
      </c>
      <c r="AP76" s="741"/>
      <c r="AQ76" s="741"/>
    </row>
    <row r="77" spans="1:43" ht="159.75" customHeight="1">
      <c r="A77" s="710" t="s">
        <v>1707</v>
      </c>
      <c r="B77" s="860" t="s">
        <v>1708</v>
      </c>
      <c r="C77" s="861">
        <v>0</v>
      </c>
      <c r="D77" s="862">
        <v>2</v>
      </c>
      <c r="E77" s="714">
        <v>0</v>
      </c>
      <c r="F77" s="715">
        <v>4</v>
      </c>
      <c r="G77" s="715"/>
      <c r="H77" s="717" t="s">
        <v>1536</v>
      </c>
      <c r="I77" s="717">
        <f>IF(F77/D77&gt;=100%,100%,F77/D77)</f>
        <v>1</v>
      </c>
      <c r="J77" s="858" t="s">
        <v>1709</v>
      </c>
      <c r="K77" s="858"/>
      <c r="L77" s="719"/>
      <c r="M77" s="720"/>
      <c r="N77" s="721"/>
      <c r="O77" s="858"/>
      <c r="P77" s="858"/>
      <c r="Q77" s="858"/>
      <c r="R77" s="722"/>
      <c r="S77" s="858"/>
      <c r="T77" s="854">
        <v>5</v>
      </c>
      <c r="U77" s="725">
        <f t="shared" si="33"/>
        <v>4</v>
      </c>
      <c r="V77" s="726">
        <f>IF(U77/T77&gt;=100%,100%,U77/T77)</f>
        <v>0.8</v>
      </c>
      <c r="W77" s="743">
        <v>0.28000000000000003</v>
      </c>
      <c r="X77" s="716">
        <v>0.2</v>
      </c>
      <c r="Y77" s="754"/>
      <c r="Z77" s="845"/>
      <c r="AA77" s="845"/>
      <c r="AB77" s="730" t="e">
        <f t="shared" si="27"/>
        <v>#DIV/0!</v>
      </c>
      <c r="AC77" s="846"/>
      <c r="AD77" s="847" t="e">
        <f t="shared" si="28"/>
        <v>#DIV/0!</v>
      </c>
      <c r="AE77" s="848">
        <f t="shared" si="29"/>
        <v>0</v>
      </c>
      <c r="AF77" s="848"/>
      <c r="AG77" s="848"/>
      <c r="AH77" s="734" t="e">
        <f t="shared" si="30"/>
        <v>#DIV/0!</v>
      </c>
      <c r="AI77" s="754">
        <v>370000000</v>
      </c>
      <c r="AJ77" s="849">
        <f>+SUM(Z77:AA77)</f>
        <v>0</v>
      </c>
      <c r="AK77" s="850">
        <f>+AJ77/AI77</f>
        <v>0</v>
      </c>
      <c r="AL77" s="851"/>
      <c r="AM77" s="738" t="s">
        <v>1318</v>
      </c>
      <c r="AN77" s="739" t="s">
        <v>557</v>
      </c>
      <c r="AO77" s="1266"/>
      <c r="AP77" s="741"/>
      <c r="AQ77" s="741"/>
    </row>
    <row r="78" spans="1:43" s="709" customFormat="1" ht="63" customHeight="1">
      <c r="A78" s="687" t="s">
        <v>1710</v>
      </c>
      <c r="B78" s="688"/>
      <c r="C78" s="689"/>
      <c r="D78" s="690"/>
      <c r="E78" s="689"/>
      <c r="F78" s="691"/>
      <c r="G78" s="691"/>
      <c r="H78" s="693">
        <f>+(H79*30%)+(H80*30%)+(H82*30%)+(H86*10%)</f>
        <v>0.99999999999999989</v>
      </c>
      <c r="I78" s="693">
        <f>+SUMPRODUCT(I79:I86,X79:X86)</f>
        <v>0.91250000000000009</v>
      </c>
      <c r="J78" s="866"/>
      <c r="K78" s="866"/>
      <c r="L78" s="867"/>
      <c r="M78" s="868"/>
      <c r="N78" s="704"/>
      <c r="O78" s="866"/>
      <c r="P78" s="866"/>
      <c r="Q78" s="866"/>
      <c r="R78" s="770"/>
      <c r="S78" s="866"/>
      <c r="T78" s="869"/>
      <c r="U78" s="697"/>
      <c r="V78" s="676">
        <f>+SUMPRODUCT(V79:V86,W79:W86)</f>
        <v>0.62580000000000002</v>
      </c>
      <c r="W78" s="693">
        <v>0.2</v>
      </c>
      <c r="X78" s="693">
        <v>0.2</v>
      </c>
      <c r="Y78" s="699">
        <v>200000000</v>
      </c>
      <c r="Z78" s="699">
        <v>150000000</v>
      </c>
      <c r="AA78" s="699">
        <v>198279930</v>
      </c>
      <c r="AB78" s="700">
        <f t="shared" si="27"/>
        <v>0.99139964999999997</v>
      </c>
      <c r="AC78" s="699">
        <v>198279930</v>
      </c>
      <c r="AD78" s="693">
        <f t="shared" si="28"/>
        <v>0.99139964999999997</v>
      </c>
      <c r="AE78" s="870">
        <f>+AA78-AC78</f>
        <v>0</v>
      </c>
      <c r="AF78" s="870">
        <v>105000000</v>
      </c>
      <c r="AG78" s="870">
        <v>105000000</v>
      </c>
      <c r="AH78" s="703">
        <f t="shared" si="30"/>
        <v>1</v>
      </c>
      <c r="AI78" s="699">
        <f>SUM(AI79:AI86)</f>
        <v>850000000</v>
      </c>
      <c r="AJ78" s="699">
        <f>+SUM(Z78:AA78)</f>
        <v>348279930</v>
      </c>
      <c r="AK78" s="693">
        <f t="shared" si="31"/>
        <v>0.40974109411764703</v>
      </c>
      <c r="AL78" s="694"/>
      <c r="AM78" s="705" t="s">
        <v>1318</v>
      </c>
      <c r="AN78" s="706"/>
      <c r="AO78" s="707"/>
      <c r="AP78" s="708"/>
      <c r="AQ78" s="708"/>
    </row>
    <row r="79" spans="1:43" ht="127.5" customHeight="1">
      <c r="A79" s="710" t="s">
        <v>1711</v>
      </c>
      <c r="B79" s="860" t="s">
        <v>1712</v>
      </c>
      <c r="C79" s="871">
        <v>1</v>
      </c>
      <c r="D79" s="872">
        <v>1</v>
      </c>
      <c r="E79" s="751">
        <v>0.4</v>
      </c>
      <c r="F79" s="732">
        <v>1</v>
      </c>
      <c r="G79" s="751">
        <v>0.6</v>
      </c>
      <c r="H79" s="801">
        <f>IF((E79+G79)/C79&gt;=100%,100%,(E79+G79)/C79)</f>
        <v>1</v>
      </c>
      <c r="I79" s="717">
        <f>IF(F79/D79&gt;=100%,100%,F79/D79)</f>
        <v>1</v>
      </c>
      <c r="J79" s="858" t="s">
        <v>1713</v>
      </c>
      <c r="K79" s="858"/>
      <c r="L79" s="719"/>
      <c r="M79" s="720"/>
      <c r="N79" s="721"/>
      <c r="O79" s="858"/>
      <c r="P79" s="858"/>
      <c r="Q79" s="858"/>
      <c r="R79" s="722"/>
      <c r="S79" s="858"/>
      <c r="T79" s="873">
        <v>1</v>
      </c>
      <c r="U79" s="752">
        <f>SUM(E79:G79)/4</f>
        <v>0.5</v>
      </c>
      <c r="V79" s="753">
        <f t="shared" ref="V79:V86" si="34">IF(U79/T79&gt;=100%,100%,U79/T79)</f>
        <v>0.5</v>
      </c>
      <c r="W79" s="874">
        <v>0.21</v>
      </c>
      <c r="X79" s="716">
        <v>0.15</v>
      </c>
      <c r="Y79" s="728"/>
      <c r="Z79" s="729"/>
      <c r="AA79" s="729"/>
      <c r="AB79" s="730" t="e">
        <f t="shared" si="27"/>
        <v>#DIV/0!</v>
      </c>
      <c r="AC79" s="875"/>
      <c r="AD79" s="716" t="e">
        <f t="shared" si="28"/>
        <v>#DIV/0!</v>
      </c>
      <c r="AE79" s="876">
        <f t="shared" si="29"/>
        <v>0</v>
      </c>
      <c r="AF79" s="876"/>
      <c r="AG79" s="876"/>
      <c r="AH79" s="734" t="e">
        <f t="shared" si="30"/>
        <v>#DIV/0!</v>
      </c>
      <c r="AI79" s="728">
        <v>142000000</v>
      </c>
      <c r="AJ79" s="735">
        <f t="shared" ref="AJ79:AJ138" si="35">+SUM(Z79:AA79)</f>
        <v>0</v>
      </c>
      <c r="AK79" s="772">
        <f t="shared" si="31"/>
        <v>0</v>
      </c>
      <c r="AL79" s="744"/>
      <c r="AM79" s="738" t="s">
        <v>1318</v>
      </c>
      <c r="AN79" s="739"/>
      <c r="AO79" s="1276" t="s">
        <v>1687</v>
      </c>
      <c r="AP79" s="741"/>
      <c r="AQ79" s="741"/>
    </row>
    <row r="80" spans="1:43" ht="51.75" customHeight="1">
      <c r="A80" s="745" t="s">
        <v>1714</v>
      </c>
      <c r="B80" s="860" t="s">
        <v>1715</v>
      </c>
      <c r="C80" s="871">
        <v>1</v>
      </c>
      <c r="D80" s="872">
        <v>1</v>
      </c>
      <c r="E80" s="751">
        <v>1</v>
      </c>
      <c r="F80" s="732">
        <v>0.8</v>
      </c>
      <c r="G80" s="715"/>
      <c r="H80" s="717">
        <f t="shared" ref="H80" si="36">IF((E80+G80)/C80&gt;=100%,100%,(E80+G80)/C80)</f>
        <v>1</v>
      </c>
      <c r="I80" s="717">
        <f t="shared" ref="I80:I86" si="37">IF(F80/D80&gt;=100%,100%,F80/D80)</f>
        <v>0.8</v>
      </c>
      <c r="J80" s="877" t="s">
        <v>1716</v>
      </c>
      <c r="K80" s="858"/>
      <c r="L80" s="719"/>
      <c r="M80" s="720"/>
      <c r="N80" s="721"/>
      <c r="O80" s="858"/>
      <c r="P80" s="858"/>
      <c r="Q80" s="858"/>
      <c r="R80" s="722"/>
      <c r="S80" s="858"/>
      <c r="T80" s="873">
        <v>1</v>
      </c>
      <c r="U80" s="752">
        <f>SUM(E80:G80)/2</f>
        <v>0.9</v>
      </c>
      <c r="V80" s="753">
        <f t="shared" si="34"/>
        <v>0.9</v>
      </c>
      <c r="W80" s="874">
        <v>0.11</v>
      </c>
      <c r="X80" s="716">
        <v>0.15</v>
      </c>
      <c r="Y80" s="728"/>
      <c r="Z80" s="729"/>
      <c r="AA80" s="729"/>
      <c r="AB80" s="730" t="e">
        <f t="shared" si="27"/>
        <v>#DIV/0!</v>
      </c>
      <c r="AC80" s="875"/>
      <c r="AD80" s="716" t="e">
        <f t="shared" si="28"/>
        <v>#DIV/0!</v>
      </c>
      <c r="AE80" s="876">
        <f t="shared" si="29"/>
        <v>0</v>
      </c>
      <c r="AF80" s="876"/>
      <c r="AG80" s="876"/>
      <c r="AH80" s="734" t="e">
        <f t="shared" si="30"/>
        <v>#DIV/0!</v>
      </c>
      <c r="AI80" s="728">
        <v>36000000</v>
      </c>
      <c r="AJ80" s="735">
        <f t="shared" si="35"/>
        <v>0</v>
      </c>
      <c r="AK80" s="772">
        <f t="shared" si="31"/>
        <v>0</v>
      </c>
      <c r="AL80" s="744"/>
      <c r="AM80" s="738" t="s">
        <v>1318</v>
      </c>
      <c r="AN80" s="739"/>
      <c r="AO80" s="1265"/>
      <c r="AP80" s="741"/>
      <c r="AQ80" s="741"/>
    </row>
    <row r="81" spans="1:43" ht="69.75" customHeight="1">
      <c r="A81" s="745" t="s">
        <v>1717</v>
      </c>
      <c r="B81" s="860" t="s">
        <v>1718</v>
      </c>
      <c r="C81" s="871">
        <v>0</v>
      </c>
      <c r="D81" s="872">
        <v>0.2</v>
      </c>
      <c r="E81" s="751">
        <v>0</v>
      </c>
      <c r="F81" s="732">
        <v>8.5000000000000006E-2</v>
      </c>
      <c r="G81" s="715"/>
      <c r="H81" s="717" t="s">
        <v>1536</v>
      </c>
      <c r="I81" s="717">
        <f t="shared" si="37"/>
        <v>0.42499999999999999</v>
      </c>
      <c r="J81" s="858" t="s">
        <v>1719</v>
      </c>
      <c r="K81" s="858"/>
      <c r="L81" s="719"/>
      <c r="M81" s="720"/>
      <c r="N81" s="721"/>
      <c r="O81" s="858"/>
      <c r="P81" s="858"/>
      <c r="Q81" s="858"/>
      <c r="R81" s="722"/>
      <c r="S81" s="858"/>
      <c r="T81" s="873">
        <v>1</v>
      </c>
      <c r="U81" s="752">
        <f t="shared" ref="U81:U86" si="38">SUM(E81:G81)</f>
        <v>8.5000000000000006E-2</v>
      </c>
      <c r="V81" s="726">
        <f t="shared" si="34"/>
        <v>8.5000000000000006E-2</v>
      </c>
      <c r="W81" s="874">
        <v>0.08</v>
      </c>
      <c r="X81" s="716">
        <v>0.1</v>
      </c>
      <c r="Y81" s="728"/>
      <c r="Z81" s="729"/>
      <c r="AA81" s="729"/>
      <c r="AB81" s="730" t="e">
        <f t="shared" si="27"/>
        <v>#DIV/0!</v>
      </c>
      <c r="AC81" s="875"/>
      <c r="AD81" s="716" t="e">
        <f t="shared" si="28"/>
        <v>#DIV/0!</v>
      </c>
      <c r="AE81" s="876">
        <f t="shared" si="29"/>
        <v>0</v>
      </c>
      <c r="AF81" s="876"/>
      <c r="AG81" s="876"/>
      <c r="AH81" s="734" t="e">
        <f t="shared" si="30"/>
        <v>#DIV/0!</v>
      </c>
      <c r="AI81" s="728">
        <v>2000000</v>
      </c>
      <c r="AJ81" s="735">
        <f t="shared" si="35"/>
        <v>0</v>
      </c>
      <c r="AK81" s="772">
        <f t="shared" si="31"/>
        <v>0</v>
      </c>
      <c r="AL81" s="744"/>
      <c r="AM81" s="738" t="s">
        <v>1318</v>
      </c>
      <c r="AN81" s="739" t="s">
        <v>557</v>
      </c>
      <c r="AO81" s="1266"/>
      <c r="AP81" s="741"/>
      <c r="AQ81" s="741"/>
    </row>
    <row r="82" spans="1:43" ht="74.25" customHeight="1">
      <c r="A82" s="781" t="s">
        <v>2085</v>
      </c>
      <c r="B82" s="860" t="s">
        <v>1720</v>
      </c>
      <c r="C82" s="878">
        <v>1</v>
      </c>
      <c r="D82" s="879">
        <v>0</v>
      </c>
      <c r="E82" s="714">
        <v>1</v>
      </c>
      <c r="F82" s="715">
        <v>0</v>
      </c>
      <c r="G82" s="715"/>
      <c r="H82" s="717">
        <f t="shared" ref="H82" si="39">IF((E82+G82)/C82&gt;=100%,100%,(E82+G82)/C82)</f>
        <v>1</v>
      </c>
      <c r="I82" s="717">
        <v>0</v>
      </c>
      <c r="J82" s="858"/>
      <c r="K82" s="858"/>
      <c r="L82" s="719"/>
      <c r="M82" s="720"/>
      <c r="N82" s="721"/>
      <c r="O82" s="858"/>
      <c r="P82" s="858"/>
      <c r="Q82" s="858"/>
      <c r="R82" s="722"/>
      <c r="S82" s="858"/>
      <c r="T82" s="854">
        <v>1</v>
      </c>
      <c r="U82" s="725">
        <f t="shared" si="38"/>
        <v>1</v>
      </c>
      <c r="V82" s="726">
        <f t="shared" si="34"/>
        <v>1</v>
      </c>
      <c r="W82" s="874">
        <v>7.0000000000000007E-2</v>
      </c>
      <c r="X82" s="716">
        <v>0</v>
      </c>
      <c r="Y82" s="880"/>
      <c r="Z82" s="881"/>
      <c r="AA82" s="881"/>
      <c r="AB82" s="730" t="e">
        <f t="shared" si="27"/>
        <v>#DIV/0!</v>
      </c>
      <c r="AC82" s="882"/>
      <c r="AD82" s="734" t="e">
        <f t="shared" si="28"/>
        <v>#DIV/0!</v>
      </c>
      <c r="AE82" s="883">
        <f t="shared" si="29"/>
        <v>0</v>
      </c>
      <c r="AF82" s="883"/>
      <c r="AG82" s="883"/>
      <c r="AH82" s="734" t="e">
        <f t="shared" si="30"/>
        <v>#DIV/0!</v>
      </c>
      <c r="AI82" s="880">
        <v>65000000</v>
      </c>
      <c r="AJ82" s="855">
        <f t="shared" si="35"/>
        <v>0</v>
      </c>
      <c r="AK82" s="856">
        <f t="shared" si="31"/>
        <v>0</v>
      </c>
      <c r="AL82" s="859"/>
      <c r="AM82" s="738"/>
      <c r="AN82" s="739"/>
      <c r="AO82" s="1276" t="s">
        <v>1687</v>
      </c>
      <c r="AP82" s="741"/>
      <c r="AQ82" s="741"/>
    </row>
    <row r="83" spans="1:43" ht="145.5" customHeight="1">
      <c r="A83" s="781" t="s">
        <v>2086</v>
      </c>
      <c r="B83" s="860" t="s">
        <v>1721</v>
      </c>
      <c r="C83" s="878">
        <v>0</v>
      </c>
      <c r="D83" s="879">
        <v>1</v>
      </c>
      <c r="E83" s="714">
        <v>0</v>
      </c>
      <c r="F83" s="715">
        <v>1</v>
      </c>
      <c r="G83" s="715"/>
      <c r="H83" s="717" t="s">
        <v>1536</v>
      </c>
      <c r="I83" s="717">
        <f t="shared" si="37"/>
        <v>1</v>
      </c>
      <c r="J83" s="858" t="s">
        <v>1722</v>
      </c>
      <c r="K83" s="858"/>
      <c r="L83" s="719"/>
      <c r="M83" s="720"/>
      <c r="N83" s="721"/>
      <c r="O83" s="858"/>
      <c r="P83" s="858"/>
      <c r="Q83" s="858"/>
      <c r="R83" s="722"/>
      <c r="S83" s="858"/>
      <c r="T83" s="854">
        <v>3</v>
      </c>
      <c r="U83" s="725">
        <f t="shared" si="38"/>
        <v>1</v>
      </c>
      <c r="V83" s="726">
        <f t="shared" si="34"/>
        <v>0.33333333333333331</v>
      </c>
      <c r="W83" s="874">
        <v>0.14000000000000001</v>
      </c>
      <c r="X83" s="716">
        <v>0.15</v>
      </c>
      <c r="Y83" s="728"/>
      <c r="Z83" s="881"/>
      <c r="AA83" s="881"/>
      <c r="AB83" s="730" t="e">
        <f t="shared" si="27"/>
        <v>#DIV/0!</v>
      </c>
      <c r="AC83" s="882"/>
      <c r="AD83" s="734" t="e">
        <f t="shared" si="28"/>
        <v>#DIV/0!</v>
      </c>
      <c r="AE83" s="883">
        <f t="shared" si="29"/>
        <v>0</v>
      </c>
      <c r="AF83" s="883"/>
      <c r="AG83" s="883"/>
      <c r="AH83" s="734" t="e">
        <f t="shared" si="30"/>
        <v>#DIV/0!</v>
      </c>
      <c r="AI83" s="728">
        <v>450000000</v>
      </c>
      <c r="AJ83" s="855">
        <f t="shared" si="35"/>
        <v>0</v>
      </c>
      <c r="AK83" s="856">
        <f t="shared" si="31"/>
        <v>0</v>
      </c>
      <c r="AL83" s="859"/>
      <c r="AM83" s="738" t="s">
        <v>1318</v>
      </c>
      <c r="AN83" s="739"/>
      <c r="AO83" s="1265"/>
      <c r="AP83" s="741"/>
      <c r="AQ83" s="741"/>
    </row>
    <row r="84" spans="1:43" ht="75" customHeight="1">
      <c r="A84" s="745" t="s">
        <v>1723</v>
      </c>
      <c r="B84" s="860" t="s">
        <v>1724</v>
      </c>
      <c r="C84" s="878">
        <v>0</v>
      </c>
      <c r="D84" s="879">
        <v>1</v>
      </c>
      <c r="E84" s="714">
        <v>0</v>
      </c>
      <c r="F84" s="715">
        <v>2</v>
      </c>
      <c r="G84" s="715"/>
      <c r="H84" s="717" t="s">
        <v>1536</v>
      </c>
      <c r="I84" s="717">
        <f t="shared" si="37"/>
        <v>1</v>
      </c>
      <c r="J84" s="858" t="s">
        <v>1725</v>
      </c>
      <c r="K84" s="858"/>
      <c r="L84" s="719"/>
      <c r="M84" s="720"/>
      <c r="N84" s="721"/>
      <c r="O84" s="858"/>
      <c r="P84" s="858"/>
      <c r="Q84" s="858"/>
      <c r="R84" s="722"/>
      <c r="S84" s="858"/>
      <c r="T84" s="854">
        <v>3</v>
      </c>
      <c r="U84" s="725">
        <f t="shared" si="38"/>
        <v>2</v>
      </c>
      <c r="V84" s="726">
        <f t="shared" si="34"/>
        <v>0.66666666666666663</v>
      </c>
      <c r="W84" s="874">
        <v>0.14000000000000001</v>
      </c>
      <c r="X84" s="716">
        <v>0.15</v>
      </c>
      <c r="Y84" s="880"/>
      <c r="Z84" s="881"/>
      <c r="AA84" s="881"/>
      <c r="AB84" s="730" t="e">
        <f t="shared" si="27"/>
        <v>#DIV/0!</v>
      </c>
      <c r="AC84" s="882"/>
      <c r="AD84" s="734" t="e">
        <f t="shared" si="28"/>
        <v>#DIV/0!</v>
      </c>
      <c r="AE84" s="883">
        <f t="shared" si="29"/>
        <v>0</v>
      </c>
      <c r="AF84" s="883"/>
      <c r="AG84" s="883"/>
      <c r="AH84" s="734" t="e">
        <f t="shared" si="30"/>
        <v>#DIV/0!</v>
      </c>
      <c r="AI84" s="880">
        <v>18000000</v>
      </c>
      <c r="AJ84" s="855">
        <f t="shared" si="35"/>
        <v>0</v>
      </c>
      <c r="AK84" s="856">
        <f t="shared" si="31"/>
        <v>0</v>
      </c>
      <c r="AL84" s="859"/>
      <c r="AM84" s="738" t="s">
        <v>1318</v>
      </c>
      <c r="AN84" s="739"/>
      <c r="AO84" s="1265"/>
      <c r="AP84" s="741"/>
      <c r="AQ84" s="741"/>
    </row>
    <row r="85" spans="1:43" ht="147" customHeight="1">
      <c r="A85" s="745" t="s">
        <v>1726</v>
      </c>
      <c r="B85" s="860" t="s">
        <v>1727</v>
      </c>
      <c r="C85" s="878">
        <v>0</v>
      </c>
      <c r="D85" s="879">
        <v>1</v>
      </c>
      <c r="E85" s="714">
        <v>0</v>
      </c>
      <c r="F85" s="715">
        <v>1</v>
      </c>
      <c r="G85" s="715"/>
      <c r="H85" s="717" t="s">
        <v>1536</v>
      </c>
      <c r="I85" s="717">
        <f t="shared" si="37"/>
        <v>1</v>
      </c>
      <c r="J85" s="858" t="s">
        <v>1728</v>
      </c>
      <c r="K85" s="858"/>
      <c r="L85" s="719"/>
      <c r="M85" s="720"/>
      <c r="N85" s="721"/>
      <c r="O85" s="858"/>
      <c r="P85" s="858"/>
      <c r="Q85" s="858"/>
      <c r="R85" s="722"/>
      <c r="S85" s="858"/>
      <c r="T85" s="854">
        <v>2</v>
      </c>
      <c r="U85" s="725">
        <f t="shared" si="38"/>
        <v>1</v>
      </c>
      <c r="V85" s="726">
        <f t="shared" si="34"/>
        <v>0.5</v>
      </c>
      <c r="W85" s="874">
        <v>0.09</v>
      </c>
      <c r="X85" s="716">
        <v>0.15</v>
      </c>
      <c r="Y85" s="728"/>
      <c r="Z85" s="881"/>
      <c r="AA85" s="881"/>
      <c r="AB85" s="730" t="e">
        <f t="shared" si="27"/>
        <v>#DIV/0!</v>
      </c>
      <c r="AC85" s="882"/>
      <c r="AD85" s="734" t="e">
        <f t="shared" si="28"/>
        <v>#DIV/0!</v>
      </c>
      <c r="AE85" s="883">
        <f t="shared" si="29"/>
        <v>0</v>
      </c>
      <c r="AF85" s="883"/>
      <c r="AG85" s="883"/>
      <c r="AH85" s="734" t="e">
        <f t="shared" si="30"/>
        <v>#DIV/0!</v>
      </c>
      <c r="AI85" s="728">
        <v>91000000</v>
      </c>
      <c r="AJ85" s="855">
        <f t="shared" si="35"/>
        <v>0</v>
      </c>
      <c r="AK85" s="856">
        <f t="shared" si="31"/>
        <v>0</v>
      </c>
      <c r="AL85" s="859"/>
      <c r="AM85" s="738" t="s">
        <v>1318</v>
      </c>
      <c r="AN85" s="739"/>
      <c r="AO85" s="1265"/>
      <c r="AP85" s="741"/>
      <c r="AQ85" s="741"/>
    </row>
    <row r="86" spans="1:43" ht="89.25">
      <c r="A86" s="710" t="s">
        <v>1729</v>
      </c>
      <c r="B86" s="860" t="s">
        <v>1730</v>
      </c>
      <c r="C86" s="878">
        <v>1</v>
      </c>
      <c r="D86" s="879">
        <v>1</v>
      </c>
      <c r="E86" s="714">
        <v>3</v>
      </c>
      <c r="F86" s="715">
        <v>4</v>
      </c>
      <c r="G86" s="715"/>
      <c r="H86" s="717">
        <f t="shared" ref="H86" si="40">IF((E86+G86)/C86&gt;=100%,100%,(E86+G86)/C86)</f>
        <v>1</v>
      </c>
      <c r="I86" s="717">
        <f t="shared" si="37"/>
        <v>1</v>
      </c>
      <c r="J86" s="858" t="s">
        <v>1731</v>
      </c>
      <c r="K86" s="858"/>
      <c r="L86" s="719"/>
      <c r="M86" s="720"/>
      <c r="N86" s="721"/>
      <c r="O86" s="858"/>
      <c r="P86" s="858"/>
      <c r="Q86" s="858"/>
      <c r="R86" s="722"/>
      <c r="S86" s="858"/>
      <c r="T86" s="854">
        <v>4</v>
      </c>
      <c r="U86" s="725">
        <f t="shared" si="38"/>
        <v>7</v>
      </c>
      <c r="V86" s="726">
        <f t="shared" si="34"/>
        <v>1</v>
      </c>
      <c r="W86" s="874">
        <v>0.16</v>
      </c>
      <c r="X86" s="716">
        <v>0.15</v>
      </c>
      <c r="Y86" s="728"/>
      <c r="Z86" s="881"/>
      <c r="AA86" s="881"/>
      <c r="AB86" s="730" t="e">
        <f t="shared" si="27"/>
        <v>#DIV/0!</v>
      </c>
      <c r="AC86" s="882"/>
      <c r="AD86" s="734" t="e">
        <f t="shared" si="28"/>
        <v>#DIV/0!</v>
      </c>
      <c r="AE86" s="883">
        <f t="shared" si="29"/>
        <v>0</v>
      </c>
      <c r="AF86" s="883"/>
      <c r="AG86" s="883"/>
      <c r="AH86" s="734" t="e">
        <f t="shared" si="30"/>
        <v>#DIV/0!</v>
      </c>
      <c r="AI86" s="728">
        <v>46000000</v>
      </c>
      <c r="AJ86" s="855">
        <f t="shared" si="35"/>
        <v>0</v>
      </c>
      <c r="AK86" s="856">
        <f t="shared" si="31"/>
        <v>0</v>
      </c>
      <c r="AL86" s="859"/>
      <c r="AM86" s="738" t="s">
        <v>1318</v>
      </c>
      <c r="AN86" s="739"/>
      <c r="AO86" s="1266"/>
      <c r="AP86" s="741"/>
      <c r="AQ86" s="741"/>
    </row>
    <row r="87" spans="1:43" s="709" customFormat="1" ht="37.5" customHeight="1">
      <c r="A87" s="687" t="s">
        <v>1732</v>
      </c>
      <c r="B87" s="688"/>
      <c r="C87" s="689"/>
      <c r="D87" s="690"/>
      <c r="E87" s="689"/>
      <c r="F87" s="691"/>
      <c r="G87" s="691"/>
      <c r="H87" s="693">
        <f>+(H88*50%)+(H91*50%)</f>
        <v>1</v>
      </c>
      <c r="I87" s="693">
        <f>+SUMPRODUCT(I88:I91,X88:X91)</f>
        <v>0.66666666666666663</v>
      </c>
      <c r="J87" s="694"/>
      <c r="K87" s="694"/>
      <c r="L87" s="694"/>
      <c r="M87" s="688"/>
      <c r="N87" s="688"/>
      <c r="O87" s="694"/>
      <c r="P87" s="694"/>
      <c r="Q87" s="694"/>
      <c r="R87" s="770"/>
      <c r="S87" s="694"/>
      <c r="T87" s="696"/>
      <c r="U87" s="697"/>
      <c r="V87" s="676">
        <f>+SUMPRODUCT(V88:V91,W88:W91)</f>
        <v>0.26300000000000001</v>
      </c>
      <c r="W87" s="693">
        <v>0.2</v>
      </c>
      <c r="X87" s="693">
        <v>0.2</v>
      </c>
      <c r="Y87" s="699">
        <v>100000000</v>
      </c>
      <c r="Z87" s="699">
        <v>5856500</v>
      </c>
      <c r="AA87" s="699">
        <v>54512019</v>
      </c>
      <c r="AB87" s="700">
        <f>+AA87/Y87</f>
        <v>0.54512019</v>
      </c>
      <c r="AC87" s="699">
        <v>54512019</v>
      </c>
      <c r="AD87" s="693">
        <f t="shared" si="28"/>
        <v>0.54512019</v>
      </c>
      <c r="AE87" s="870">
        <f t="shared" si="29"/>
        <v>0</v>
      </c>
      <c r="AF87" s="870"/>
      <c r="AG87" s="870"/>
      <c r="AH87" s="703" t="e">
        <f t="shared" si="30"/>
        <v>#DIV/0!</v>
      </c>
      <c r="AI87" s="699">
        <f>SUM(AI88:AI91)</f>
        <v>500000000</v>
      </c>
      <c r="AJ87" s="699">
        <f>+SUM(Z87:AA87)</f>
        <v>60368519</v>
      </c>
      <c r="AK87" s="693">
        <f t="shared" si="31"/>
        <v>0.120737038</v>
      </c>
      <c r="AL87" s="694"/>
      <c r="AM87" s="705" t="s">
        <v>1318</v>
      </c>
      <c r="AN87" s="706"/>
      <c r="AO87" s="707"/>
      <c r="AP87" s="708"/>
      <c r="AQ87" s="708"/>
    </row>
    <row r="88" spans="1:43" ht="124.5" customHeight="1">
      <c r="A88" s="710" t="s">
        <v>1733</v>
      </c>
      <c r="B88" s="860" t="s">
        <v>1734</v>
      </c>
      <c r="C88" s="864">
        <v>0.1</v>
      </c>
      <c r="D88" s="865">
        <v>0.3</v>
      </c>
      <c r="E88" s="751">
        <v>0.08</v>
      </c>
      <c r="F88" s="732">
        <v>0.3</v>
      </c>
      <c r="G88" s="732">
        <v>0.02</v>
      </c>
      <c r="H88" s="801">
        <f>IF((E88+G88)/C88&gt;=100%,100%,(E88+G88)/C88)</f>
        <v>1</v>
      </c>
      <c r="I88" s="717">
        <f>IF(F88/D88&gt;=100%,100%,F88/D88)</f>
        <v>1</v>
      </c>
      <c r="J88" s="765" t="s">
        <v>1735</v>
      </c>
      <c r="K88" s="718"/>
      <c r="L88" s="719"/>
      <c r="M88" s="720"/>
      <c r="N88" s="721"/>
      <c r="O88" s="718"/>
      <c r="P88" s="718"/>
      <c r="Q88" s="718"/>
      <c r="R88" s="722"/>
      <c r="S88" s="718"/>
      <c r="T88" s="732">
        <v>1</v>
      </c>
      <c r="U88" s="752">
        <f>+F88</f>
        <v>0.3</v>
      </c>
      <c r="V88" s="753">
        <f>IF(U88/T88&gt;=100%,100%,U88/T88)</f>
        <v>0.3</v>
      </c>
      <c r="W88" s="743">
        <v>0.34</v>
      </c>
      <c r="X88" s="716">
        <v>0.25</v>
      </c>
      <c r="Y88" s="754"/>
      <c r="Z88" s="729"/>
      <c r="AA88" s="729"/>
      <c r="AB88" s="730" t="e">
        <f>+AA88/Y88</f>
        <v>#DIV/0!</v>
      </c>
      <c r="AC88" s="875"/>
      <c r="AD88" s="716" t="e">
        <f t="shared" si="28"/>
        <v>#DIV/0!</v>
      </c>
      <c r="AE88" s="876">
        <f t="shared" si="29"/>
        <v>0</v>
      </c>
      <c r="AF88" s="876"/>
      <c r="AG88" s="876"/>
      <c r="AH88" s="734" t="e">
        <f t="shared" si="30"/>
        <v>#DIV/0!</v>
      </c>
      <c r="AI88" s="754">
        <v>40000000</v>
      </c>
      <c r="AJ88" s="735">
        <f t="shared" si="35"/>
        <v>0</v>
      </c>
      <c r="AK88" s="772">
        <f t="shared" si="31"/>
        <v>0</v>
      </c>
      <c r="AL88" s="744"/>
      <c r="AM88" s="738" t="s">
        <v>1318</v>
      </c>
      <c r="AN88" s="884"/>
      <c r="AO88" s="863" t="s">
        <v>1687</v>
      </c>
      <c r="AP88" s="741"/>
      <c r="AQ88" s="741"/>
    </row>
    <row r="89" spans="1:43" ht="81" customHeight="1">
      <c r="A89" s="710" t="s">
        <v>1736</v>
      </c>
      <c r="B89" s="860" t="s">
        <v>1727</v>
      </c>
      <c r="C89" s="861">
        <v>0</v>
      </c>
      <c r="D89" s="862">
        <v>1</v>
      </c>
      <c r="E89" s="714">
        <v>0</v>
      </c>
      <c r="F89" s="715">
        <v>1</v>
      </c>
      <c r="G89" s="715"/>
      <c r="H89" s="717" t="s">
        <v>1536</v>
      </c>
      <c r="I89" s="717">
        <f>IF(F89/D89&gt;=100%,100%,F89/D89)</f>
        <v>1</v>
      </c>
      <c r="J89" s="718" t="s">
        <v>1737</v>
      </c>
      <c r="K89" s="718"/>
      <c r="L89" s="719"/>
      <c r="M89" s="720"/>
      <c r="N89" s="721"/>
      <c r="O89" s="718"/>
      <c r="P89" s="718"/>
      <c r="Q89" s="718"/>
      <c r="R89" s="722"/>
      <c r="S89" s="718"/>
      <c r="T89" s="724">
        <v>2</v>
      </c>
      <c r="U89" s="725">
        <f>SUM(E89:G89)</f>
        <v>1</v>
      </c>
      <c r="V89" s="726">
        <f>IF(U89/T89&gt;=100%,100%,U89/T89)</f>
        <v>0.5</v>
      </c>
      <c r="W89" s="743">
        <v>0.13</v>
      </c>
      <c r="X89" s="716">
        <v>0.25</v>
      </c>
      <c r="Y89" s="754"/>
      <c r="Z89" s="729"/>
      <c r="AA89" s="729"/>
      <c r="AB89" s="730" t="e">
        <f>+AA89/Y89</f>
        <v>#DIV/0!</v>
      </c>
      <c r="AC89" s="875"/>
      <c r="AD89" s="716" t="e">
        <f t="shared" si="28"/>
        <v>#DIV/0!</v>
      </c>
      <c r="AE89" s="876">
        <f t="shared" si="29"/>
        <v>0</v>
      </c>
      <c r="AF89" s="876"/>
      <c r="AG89" s="876"/>
      <c r="AH89" s="734" t="e">
        <f t="shared" si="30"/>
        <v>#DIV/0!</v>
      </c>
      <c r="AI89" s="754">
        <v>190000000</v>
      </c>
      <c r="AJ89" s="735">
        <f t="shared" si="35"/>
        <v>0</v>
      </c>
      <c r="AK89" s="772">
        <f t="shared" si="31"/>
        <v>0</v>
      </c>
      <c r="AL89" s="744"/>
      <c r="AM89" s="738" t="s">
        <v>1318</v>
      </c>
      <c r="AN89" s="884"/>
      <c r="AO89" s="1276" t="s">
        <v>1687</v>
      </c>
      <c r="AP89" s="741"/>
      <c r="AQ89" s="741"/>
    </row>
    <row r="90" spans="1:43" ht="75" customHeight="1">
      <c r="A90" s="710" t="s">
        <v>1738</v>
      </c>
      <c r="B90" s="860" t="s">
        <v>1739</v>
      </c>
      <c r="C90" s="861">
        <v>0</v>
      </c>
      <c r="D90" s="862">
        <v>1</v>
      </c>
      <c r="E90" s="714">
        <v>0</v>
      </c>
      <c r="F90" s="746">
        <v>0</v>
      </c>
      <c r="G90" s="715"/>
      <c r="H90" s="717" t="s">
        <v>1536</v>
      </c>
      <c r="I90" s="717">
        <f>IF(F90/D90&gt;=100%,100%,F90/D90)</f>
        <v>0</v>
      </c>
      <c r="J90" s="718" t="s">
        <v>1740</v>
      </c>
      <c r="K90" s="718"/>
      <c r="L90" s="719"/>
      <c r="M90" s="720"/>
      <c r="N90" s="721"/>
      <c r="O90" s="718"/>
      <c r="P90" s="718"/>
      <c r="Q90" s="718"/>
      <c r="R90" s="722"/>
      <c r="S90" s="718"/>
      <c r="T90" s="724">
        <v>3</v>
      </c>
      <c r="U90" s="725">
        <f>SUM(E90:G90)</f>
        <v>0</v>
      </c>
      <c r="V90" s="726">
        <f>IF(U90/T90&gt;=100%,100%,U90/T90)</f>
        <v>0</v>
      </c>
      <c r="W90" s="743">
        <v>0.21</v>
      </c>
      <c r="X90" s="716">
        <v>0.25</v>
      </c>
      <c r="Y90" s="754"/>
      <c r="Z90" s="729"/>
      <c r="AA90" s="729"/>
      <c r="AB90" s="730" t="e">
        <f>+AA90/Y90</f>
        <v>#DIV/0!</v>
      </c>
      <c r="AC90" s="875"/>
      <c r="AD90" s="716" t="e">
        <f t="shared" si="28"/>
        <v>#DIV/0!</v>
      </c>
      <c r="AE90" s="876">
        <f t="shared" si="29"/>
        <v>0</v>
      </c>
      <c r="AF90" s="876"/>
      <c r="AG90" s="876"/>
      <c r="AH90" s="734" t="e">
        <f t="shared" si="30"/>
        <v>#DIV/0!</v>
      </c>
      <c r="AI90" s="754">
        <v>15000000</v>
      </c>
      <c r="AJ90" s="735">
        <f t="shared" si="35"/>
        <v>0</v>
      </c>
      <c r="AK90" s="772">
        <f t="shared" si="31"/>
        <v>0</v>
      </c>
      <c r="AL90" s="744"/>
      <c r="AM90" s="738" t="s">
        <v>1318</v>
      </c>
      <c r="AN90" s="884"/>
      <c r="AO90" s="1265"/>
      <c r="AP90" s="741"/>
      <c r="AQ90" s="741"/>
    </row>
    <row r="91" spans="1:43" ht="90" customHeight="1">
      <c r="A91" s="710" t="s">
        <v>1741</v>
      </c>
      <c r="B91" s="860" t="s">
        <v>1742</v>
      </c>
      <c r="C91" s="861">
        <v>2</v>
      </c>
      <c r="D91" s="862">
        <v>6</v>
      </c>
      <c r="E91" s="714">
        <v>2</v>
      </c>
      <c r="F91" s="715">
        <v>4</v>
      </c>
      <c r="G91" s="715"/>
      <c r="H91" s="717">
        <f t="shared" ref="H91" si="41">IF((E91+G91)/C91&gt;=100%,100%,(E91+G91)/C91)</f>
        <v>1</v>
      </c>
      <c r="I91" s="717">
        <f>IF(F91/D91&gt;=100%,100%,F91/D91)</f>
        <v>0.66666666666666663</v>
      </c>
      <c r="J91" s="858" t="s">
        <v>1743</v>
      </c>
      <c r="K91" s="858"/>
      <c r="L91" s="719"/>
      <c r="M91" s="720"/>
      <c r="N91" s="721"/>
      <c r="O91" s="858"/>
      <c r="P91" s="858"/>
      <c r="Q91" s="858"/>
      <c r="R91" s="722"/>
      <c r="S91" s="858"/>
      <c r="T91" s="854">
        <v>20</v>
      </c>
      <c r="U91" s="725">
        <f>SUM(E91:G91)</f>
        <v>6</v>
      </c>
      <c r="V91" s="726">
        <f>IF(U91/T91&gt;=100%,100%,U91/T91)</f>
        <v>0.3</v>
      </c>
      <c r="W91" s="743">
        <v>0.32</v>
      </c>
      <c r="X91" s="716">
        <v>0.25</v>
      </c>
      <c r="Y91" s="754"/>
      <c r="Z91" s="881"/>
      <c r="AA91" s="881"/>
      <c r="AB91" s="730" t="e">
        <f>+AA91/Y91</f>
        <v>#DIV/0!</v>
      </c>
      <c r="AC91" s="882"/>
      <c r="AD91" s="734" t="e">
        <f t="shared" si="28"/>
        <v>#DIV/0!</v>
      </c>
      <c r="AE91" s="883">
        <f t="shared" si="29"/>
        <v>0</v>
      </c>
      <c r="AF91" s="883"/>
      <c r="AG91" s="883"/>
      <c r="AH91" s="734" t="e">
        <f t="shared" si="30"/>
        <v>#DIV/0!</v>
      </c>
      <c r="AI91" s="754">
        <v>255000000</v>
      </c>
      <c r="AJ91" s="855">
        <f t="shared" si="35"/>
        <v>0</v>
      </c>
      <c r="AK91" s="856">
        <f t="shared" si="31"/>
        <v>0</v>
      </c>
      <c r="AL91" s="859"/>
      <c r="AM91" s="738" t="s">
        <v>1318</v>
      </c>
      <c r="AN91" s="884"/>
      <c r="AO91" s="1266"/>
      <c r="AP91" s="741"/>
      <c r="AQ91" s="741"/>
    </row>
    <row r="92" spans="1:43" s="709" customFormat="1" ht="73.5" customHeight="1">
      <c r="A92" s="687" t="s">
        <v>1744</v>
      </c>
      <c r="B92" s="688"/>
      <c r="C92" s="689"/>
      <c r="D92" s="690"/>
      <c r="E92" s="689"/>
      <c r="F92" s="691"/>
      <c r="G92" s="691"/>
      <c r="H92" s="693">
        <f>+(H93*40%)+(H96*15%)+(H100*15%)+(H101*15%)+(H102*15%)</f>
        <v>1</v>
      </c>
      <c r="I92" s="693">
        <f>+SUMPRODUCT(I93:I102,X93:X102)</f>
        <v>0.77499999999999991</v>
      </c>
      <c r="J92" s="694"/>
      <c r="K92" s="694"/>
      <c r="L92" s="694"/>
      <c r="M92" s="688"/>
      <c r="N92" s="688"/>
      <c r="O92" s="694"/>
      <c r="P92" s="694"/>
      <c r="Q92" s="694"/>
      <c r="R92" s="770"/>
      <c r="S92" s="694"/>
      <c r="T92" s="696"/>
      <c r="U92" s="697"/>
      <c r="V92" s="676">
        <f>+SUMPRODUCT(V93:V102,W93:W102)</f>
        <v>0.52600000000000002</v>
      </c>
      <c r="W92" s="693">
        <v>0.2</v>
      </c>
      <c r="X92" s="693">
        <v>0.2</v>
      </c>
      <c r="Y92" s="699">
        <v>682000000</v>
      </c>
      <c r="Z92" s="699">
        <v>161498450</v>
      </c>
      <c r="AA92" s="699">
        <v>440096274</v>
      </c>
      <c r="AB92" s="700">
        <f t="shared" ref="AB92:AB130" si="42">+AA92/Y92</f>
        <v>0.64530245454545454</v>
      </c>
      <c r="AC92" s="699">
        <v>177235274</v>
      </c>
      <c r="AD92" s="693">
        <f t="shared" si="28"/>
        <v>0.25987576832844572</v>
      </c>
      <c r="AE92" s="870">
        <f t="shared" si="29"/>
        <v>262861000</v>
      </c>
      <c r="AF92" s="870">
        <v>51620160</v>
      </c>
      <c r="AG92" s="870">
        <v>42020160</v>
      </c>
      <c r="AH92" s="703">
        <f t="shared" si="30"/>
        <v>0.81402614792360195</v>
      </c>
      <c r="AI92" s="699">
        <f>SUM(AI93:AI102)</f>
        <v>2114140624</v>
      </c>
      <c r="AJ92" s="699">
        <f>+SUM(Z92:AA92)</f>
        <v>601594724</v>
      </c>
      <c r="AK92" s="693">
        <f t="shared" si="31"/>
        <v>0.284557572552468</v>
      </c>
      <c r="AL92" s="694"/>
      <c r="AM92" s="705" t="s">
        <v>1318</v>
      </c>
      <c r="AN92" s="706"/>
      <c r="AO92" s="707"/>
      <c r="AP92" s="708"/>
      <c r="AQ92" s="708"/>
    </row>
    <row r="93" spans="1:43" ht="138.75" customHeight="1">
      <c r="A93" s="773" t="s">
        <v>1745</v>
      </c>
      <c r="B93" s="860" t="s">
        <v>1746</v>
      </c>
      <c r="C93" s="885">
        <v>0.2</v>
      </c>
      <c r="D93" s="886">
        <v>0.8</v>
      </c>
      <c r="E93" s="751">
        <v>0.2</v>
      </c>
      <c r="F93" s="732">
        <v>0.7</v>
      </c>
      <c r="G93" s="715"/>
      <c r="H93" s="717">
        <f t="shared" ref="H93" si="43">IF((E93+G93)/C93&gt;=100%,100%,(E93+G93)/C93)</f>
        <v>1</v>
      </c>
      <c r="I93" s="717">
        <f>IF(F93/D93&gt;=100%,100%,F93/D93)</f>
        <v>0.87499999999999989</v>
      </c>
      <c r="J93" s="718" t="s">
        <v>1747</v>
      </c>
      <c r="K93" s="718"/>
      <c r="L93" s="719"/>
      <c r="M93" s="720"/>
      <c r="N93" s="721"/>
      <c r="O93" s="718"/>
      <c r="P93" s="718"/>
      <c r="Q93" s="718"/>
      <c r="R93" s="722"/>
      <c r="S93" s="718"/>
      <c r="T93" s="732">
        <v>1</v>
      </c>
      <c r="U93" s="752">
        <f>+F93</f>
        <v>0.7</v>
      </c>
      <c r="V93" s="753">
        <f t="shared" ref="V93:V104" si="44">IF(U93/T93&gt;=100%,100%,U93/T93)</f>
        <v>0.7</v>
      </c>
      <c r="W93" s="743">
        <v>0.15</v>
      </c>
      <c r="X93" s="716">
        <v>0.2</v>
      </c>
      <c r="Y93" s="754"/>
      <c r="Z93" s="729"/>
      <c r="AA93" s="729"/>
      <c r="AB93" s="730" t="e">
        <f t="shared" si="42"/>
        <v>#DIV/0!</v>
      </c>
      <c r="AC93" s="875"/>
      <c r="AD93" s="716" t="e">
        <f t="shared" si="28"/>
        <v>#DIV/0!</v>
      </c>
      <c r="AE93" s="876">
        <f t="shared" si="29"/>
        <v>0</v>
      </c>
      <c r="AF93" s="876"/>
      <c r="AG93" s="876"/>
      <c r="AH93" s="734" t="e">
        <f t="shared" si="30"/>
        <v>#DIV/0!</v>
      </c>
      <c r="AI93" s="754">
        <v>120000000</v>
      </c>
      <c r="AJ93" s="735">
        <f t="shared" si="35"/>
        <v>0</v>
      </c>
      <c r="AK93" s="772">
        <f t="shared" si="31"/>
        <v>0</v>
      </c>
      <c r="AL93" s="744"/>
      <c r="AM93" s="738" t="s">
        <v>1318</v>
      </c>
      <c r="AN93" s="884"/>
      <c r="AO93" s="740" t="s">
        <v>1748</v>
      </c>
      <c r="AP93" s="741"/>
      <c r="AQ93" s="741"/>
    </row>
    <row r="94" spans="1:43" ht="234" customHeight="1">
      <c r="A94" s="773" t="s">
        <v>1749</v>
      </c>
      <c r="B94" s="887" t="s">
        <v>1750</v>
      </c>
      <c r="C94" s="841">
        <v>0</v>
      </c>
      <c r="D94" s="842">
        <v>2</v>
      </c>
      <c r="E94" s="714">
        <v>0</v>
      </c>
      <c r="F94" s="715">
        <v>2</v>
      </c>
      <c r="G94" s="715"/>
      <c r="H94" s="717" t="s">
        <v>1536</v>
      </c>
      <c r="I94" s="717">
        <f>IF(F94/D94&gt;=100%,100%,F94/D94)</f>
        <v>1</v>
      </c>
      <c r="J94" s="718" t="s">
        <v>1751</v>
      </c>
      <c r="K94" s="718"/>
      <c r="L94" s="719"/>
      <c r="M94" s="720"/>
      <c r="N94" s="721"/>
      <c r="O94" s="718"/>
      <c r="P94" s="718"/>
      <c r="Q94" s="718"/>
      <c r="R94" s="722"/>
      <c r="S94" s="718"/>
      <c r="T94" s="724">
        <v>5</v>
      </c>
      <c r="U94" s="725">
        <f>SUM(E94:G94)</f>
        <v>2</v>
      </c>
      <c r="V94" s="726">
        <f t="shared" si="44"/>
        <v>0.4</v>
      </c>
      <c r="W94" s="743">
        <v>0.09</v>
      </c>
      <c r="X94" s="716">
        <v>0.2</v>
      </c>
      <c r="Y94" s="754"/>
      <c r="Z94" s="729"/>
      <c r="AA94" s="729"/>
      <c r="AB94" s="730" t="e">
        <f t="shared" si="42"/>
        <v>#DIV/0!</v>
      </c>
      <c r="AC94" s="875"/>
      <c r="AD94" s="716" t="e">
        <f t="shared" si="28"/>
        <v>#DIV/0!</v>
      </c>
      <c r="AE94" s="876">
        <f t="shared" si="29"/>
        <v>0</v>
      </c>
      <c r="AF94" s="876"/>
      <c r="AG94" s="876"/>
      <c r="AH94" s="734" t="e">
        <f t="shared" si="30"/>
        <v>#DIV/0!</v>
      </c>
      <c r="AI94" s="754">
        <v>50000000</v>
      </c>
      <c r="AJ94" s="735">
        <f t="shared" si="35"/>
        <v>0</v>
      </c>
      <c r="AK94" s="772">
        <f t="shared" si="31"/>
        <v>0</v>
      </c>
      <c r="AL94" s="744"/>
      <c r="AM94" s="738" t="s">
        <v>1318</v>
      </c>
      <c r="AN94" s="739" t="s">
        <v>449</v>
      </c>
      <c r="AO94" s="1264" t="s">
        <v>1748</v>
      </c>
      <c r="AP94" s="741"/>
      <c r="AQ94" s="741"/>
    </row>
    <row r="95" spans="1:43" ht="46.5" customHeight="1">
      <c r="A95" s="773" t="s">
        <v>1752</v>
      </c>
      <c r="B95" s="860" t="s">
        <v>1753</v>
      </c>
      <c r="C95" s="841">
        <v>0</v>
      </c>
      <c r="D95" s="842">
        <v>0</v>
      </c>
      <c r="E95" s="714">
        <v>0</v>
      </c>
      <c r="F95" s="715">
        <v>0</v>
      </c>
      <c r="G95" s="715"/>
      <c r="H95" s="717">
        <v>0</v>
      </c>
      <c r="I95" s="717">
        <v>0</v>
      </c>
      <c r="J95" s="718"/>
      <c r="K95" s="718"/>
      <c r="L95" s="719"/>
      <c r="M95" s="720"/>
      <c r="N95" s="721"/>
      <c r="O95" s="718"/>
      <c r="P95" s="718"/>
      <c r="Q95" s="718"/>
      <c r="R95" s="722"/>
      <c r="S95" s="718"/>
      <c r="T95" s="724">
        <v>1</v>
      </c>
      <c r="U95" s="725">
        <f t="shared" ref="U95:U97" si="45">SUM(E95:G95)</f>
        <v>0</v>
      </c>
      <c r="V95" s="726">
        <f t="shared" si="44"/>
        <v>0</v>
      </c>
      <c r="W95" s="774">
        <v>0.04</v>
      </c>
      <c r="X95" s="716">
        <v>0</v>
      </c>
      <c r="Y95" s="888"/>
      <c r="Z95" s="729"/>
      <c r="AA95" s="729"/>
      <c r="AB95" s="730" t="e">
        <f t="shared" si="42"/>
        <v>#DIV/0!</v>
      </c>
      <c r="AC95" s="875"/>
      <c r="AD95" s="716" t="e">
        <f t="shared" si="28"/>
        <v>#DIV/0!</v>
      </c>
      <c r="AE95" s="876">
        <f t="shared" si="29"/>
        <v>0</v>
      </c>
      <c r="AF95" s="876"/>
      <c r="AG95" s="876"/>
      <c r="AH95" s="734" t="e">
        <f t="shared" si="30"/>
        <v>#DIV/0!</v>
      </c>
      <c r="AI95" s="888">
        <v>15000000</v>
      </c>
      <c r="AJ95" s="735">
        <f t="shared" si="35"/>
        <v>0</v>
      </c>
      <c r="AK95" s="772">
        <f t="shared" si="31"/>
        <v>0</v>
      </c>
      <c r="AL95" s="744"/>
      <c r="AM95" s="738"/>
      <c r="AN95" s="884"/>
      <c r="AO95" s="1265"/>
      <c r="AP95" s="741"/>
      <c r="AQ95" s="741"/>
    </row>
    <row r="96" spans="1:43" ht="169.5" customHeight="1">
      <c r="A96" s="773" t="s">
        <v>1754</v>
      </c>
      <c r="B96" s="887" t="s">
        <v>1750</v>
      </c>
      <c r="C96" s="841">
        <v>1</v>
      </c>
      <c r="D96" s="842">
        <v>1</v>
      </c>
      <c r="E96" s="714">
        <v>1</v>
      </c>
      <c r="F96" s="715">
        <v>2</v>
      </c>
      <c r="G96" s="715"/>
      <c r="H96" s="717">
        <f t="shared" ref="H96" si="46">IF((E96+G96)/C96&gt;=100%,100%,(E96+G96)/C96)</f>
        <v>1</v>
      </c>
      <c r="I96" s="717">
        <f>IF(F96/D96&gt;=100%,100%,F96/D96)</f>
        <v>1</v>
      </c>
      <c r="J96" s="877" t="s">
        <v>2129</v>
      </c>
      <c r="K96" s="858"/>
      <c r="L96" s="719"/>
      <c r="M96" s="720"/>
      <c r="N96" s="721"/>
      <c r="O96" s="858"/>
      <c r="P96" s="858"/>
      <c r="Q96" s="858"/>
      <c r="R96" s="722"/>
      <c r="S96" s="858"/>
      <c r="T96" s="854">
        <v>4</v>
      </c>
      <c r="U96" s="725">
        <f t="shared" si="45"/>
        <v>3</v>
      </c>
      <c r="V96" s="726">
        <f t="shared" si="44"/>
        <v>0.75</v>
      </c>
      <c r="W96" s="743">
        <v>0.13</v>
      </c>
      <c r="X96" s="716">
        <v>0.1</v>
      </c>
      <c r="Y96" s="754"/>
      <c r="Z96" s="881"/>
      <c r="AA96" s="881"/>
      <c r="AB96" s="730" t="e">
        <f t="shared" si="42"/>
        <v>#DIV/0!</v>
      </c>
      <c r="AC96" s="882"/>
      <c r="AD96" s="734" t="e">
        <f t="shared" si="28"/>
        <v>#DIV/0!</v>
      </c>
      <c r="AE96" s="883">
        <f t="shared" si="29"/>
        <v>0</v>
      </c>
      <c r="AF96" s="883"/>
      <c r="AG96" s="883"/>
      <c r="AH96" s="734" t="e">
        <f t="shared" si="30"/>
        <v>#DIV/0!</v>
      </c>
      <c r="AI96" s="754">
        <v>150000000</v>
      </c>
      <c r="AJ96" s="855">
        <f t="shared" si="35"/>
        <v>0</v>
      </c>
      <c r="AK96" s="856">
        <f t="shared" si="31"/>
        <v>0</v>
      </c>
      <c r="AL96" s="859"/>
      <c r="AM96" s="738" t="s">
        <v>1318</v>
      </c>
      <c r="AN96" s="739" t="s">
        <v>449</v>
      </c>
      <c r="AO96" s="1266"/>
      <c r="AP96" s="741"/>
      <c r="AQ96" s="741"/>
    </row>
    <row r="97" spans="1:43" ht="114.75" customHeight="1">
      <c r="A97" s="773" t="s">
        <v>1755</v>
      </c>
      <c r="B97" s="860" t="s">
        <v>1756</v>
      </c>
      <c r="C97" s="841">
        <v>0</v>
      </c>
      <c r="D97" s="842">
        <v>1</v>
      </c>
      <c r="E97" s="714">
        <v>0</v>
      </c>
      <c r="F97" s="715">
        <v>0</v>
      </c>
      <c r="G97" s="715"/>
      <c r="H97" s="717" t="s">
        <v>1536</v>
      </c>
      <c r="I97" s="717">
        <f>IF(F97/D97&gt;=100%,100%,F97/D97)</f>
        <v>0</v>
      </c>
      <c r="J97" s="858" t="s">
        <v>1757</v>
      </c>
      <c r="K97" s="858"/>
      <c r="L97" s="719"/>
      <c r="M97" s="720"/>
      <c r="N97" s="721"/>
      <c r="O97" s="858"/>
      <c r="P97" s="858"/>
      <c r="Q97" s="858"/>
      <c r="R97" s="722"/>
      <c r="S97" s="858"/>
      <c r="T97" s="854">
        <v>1</v>
      </c>
      <c r="U97" s="725">
        <f t="shared" si="45"/>
        <v>0</v>
      </c>
      <c r="V97" s="726">
        <f t="shared" si="44"/>
        <v>0</v>
      </c>
      <c r="W97" s="743">
        <v>0.05</v>
      </c>
      <c r="X97" s="716">
        <v>0.2</v>
      </c>
      <c r="Y97" s="754"/>
      <c r="Z97" s="881"/>
      <c r="AA97" s="881"/>
      <c r="AB97" s="730" t="e">
        <f t="shared" si="42"/>
        <v>#DIV/0!</v>
      </c>
      <c r="AC97" s="882"/>
      <c r="AD97" s="734" t="e">
        <f t="shared" si="28"/>
        <v>#DIV/0!</v>
      </c>
      <c r="AE97" s="883">
        <f t="shared" si="29"/>
        <v>0</v>
      </c>
      <c r="AF97" s="883"/>
      <c r="AG97" s="883"/>
      <c r="AH97" s="734" t="e">
        <f t="shared" si="30"/>
        <v>#DIV/0!</v>
      </c>
      <c r="AI97" s="754">
        <v>20000000</v>
      </c>
      <c r="AJ97" s="855">
        <f t="shared" si="35"/>
        <v>0</v>
      </c>
      <c r="AK97" s="856">
        <f t="shared" si="31"/>
        <v>0</v>
      </c>
      <c r="AL97" s="859"/>
      <c r="AM97" s="738" t="s">
        <v>1318</v>
      </c>
      <c r="AN97" s="884"/>
      <c r="AO97" s="1264" t="s">
        <v>1748</v>
      </c>
      <c r="AP97" s="741"/>
      <c r="AQ97" s="741"/>
    </row>
    <row r="98" spans="1:43" ht="46.5" customHeight="1">
      <c r="A98" s="773" t="s">
        <v>1758</v>
      </c>
      <c r="B98" s="860" t="s">
        <v>1759</v>
      </c>
      <c r="C98" s="841">
        <v>0</v>
      </c>
      <c r="D98" s="842">
        <v>0</v>
      </c>
      <c r="E98" s="714">
        <v>0</v>
      </c>
      <c r="F98" s="715">
        <v>0</v>
      </c>
      <c r="G98" s="715"/>
      <c r="H98" s="717">
        <v>0</v>
      </c>
      <c r="I98" s="717">
        <v>0</v>
      </c>
      <c r="J98" s="858"/>
      <c r="K98" s="858"/>
      <c r="L98" s="719"/>
      <c r="M98" s="720"/>
      <c r="N98" s="721"/>
      <c r="O98" s="858"/>
      <c r="P98" s="858"/>
      <c r="Q98" s="858"/>
      <c r="R98" s="722"/>
      <c r="S98" s="858"/>
      <c r="T98" s="854">
        <v>1</v>
      </c>
      <c r="U98" s="725">
        <f>SUM(E98:G98)</f>
        <v>0</v>
      </c>
      <c r="V98" s="726">
        <f t="shared" si="44"/>
        <v>0</v>
      </c>
      <c r="W98" s="743">
        <v>0.05</v>
      </c>
      <c r="X98" s="716">
        <v>0</v>
      </c>
      <c r="Y98" s="888"/>
      <c r="Z98" s="881"/>
      <c r="AA98" s="881"/>
      <c r="AB98" s="730" t="e">
        <f t="shared" si="42"/>
        <v>#DIV/0!</v>
      </c>
      <c r="AC98" s="882"/>
      <c r="AD98" s="734" t="e">
        <f t="shared" si="28"/>
        <v>#DIV/0!</v>
      </c>
      <c r="AE98" s="883">
        <f t="shared" si="29"/>
        <v>0</v>
      </c>
      <c r="AF98" s="883"/>
      <c r="AG98" s="883"/>
      <c r="AH98" s="734" t="e">
        <f t="shared" si="30"/>
        <v>#DIV/0!</v>
      </c>
      <c r="AI98" s="888">
        <v>11570350</v>
      </c>
      <c r="AJ98" s="855">
        <f t="shared" si="35"/>
        <v>0</v>
      </c>
      <c r="AK98" s="856">
        <f t="shared" si="31"/>
        <v>0</v>
      </c>
      <c r="AL98" s="859"/>
      <c r="AM98" s="738"/>
      <c r="AN98" s="884"/>
      <c r="AO98" s="1266"/>
      <c r="AP98" s="741"/>
      <c r="AQ98" s="741"/>
    </row>
    <row r="99" spans="1:43" ht="88.5" customHeight="1">
      <c r="A99" s="778" t="s">
        <v>1760</v>
      </c>
      <c r="B99" s="887" t="s">
        <v>1761</v>
      </c>
      <c r="C99" s="841">
        <v>0</v>
      </c>
      <c r="D99" s="842">
        <v>0</v>
      </c>
      <c r="E99" s="714">
        <v>0</v>
      </c>
      <c r="F99" s="715">
        <v>0</v>
      </c>
      <c r="G99" s="715"/>
      <c r="H99" s="717">
        <v>0</v>
      </c>
      <c r="I99" s="717">
        <v>0</v>
      </c>
      <c r="J99" s="858"/>
      <c r="K99" s="858"/>
      <c r="L99" s="719"/>
      <c r="M99" s="720"/>
      <c r="N99" s="721"/>
      <c r="O99" s="858"/>
      <c r="P99" s="858"/>
      <c r="Q99" s="858"/>
      <c r="R99" s="722"/>
      <c r="S99" s="858"/>
      <c r="T99" s="854">
        <v>35000</v>
      </c>
      <c r="U99" s="725">
        <f t="shared" ref="U99:U101" si="47">SUM(E99:G99)</f>
        <v>0</v>
      </c>
      <c r="V99" s="726">
        <f t="shared" si="44"/>
        <v>0</v>
      </c>
      <c r="W99" s="743">
        <v>0.06</v>
      </c>
      <c r="X99" s="716">
        <v>0</v>
      </c>
      <c r="Y99" s="888"/>
      <c r="Z99" s="881"/>
      <c r="AA99" s="881"/>
      <c r="AB99" s="730" t="e">
        <f t="shared" si="42"/>
        <v>#DIV/0!</v>
      </c>
      <c r="AC99" s="882"/>
      <c r="AD99" s="734" t="e">
        <f t="shared" si="28"/>
        <v>#DIV/0!</v>
      </c>
      <c r="AE99" s="883">
        <f t="shared" si="29"/>
        <v>0</v>
      </c>
      <c r="AF99" s="883"/>
      <c r="AG99" s="883"/>
      <c r="AH99" s="734" t="e">
        <f t="shared" si="30"/>
        <v>#DIV/0!</v>
      </c>
      <c r="AI99" s="888">
        <v>20000000</v>
      </c>
      <c r="AJ99" s="855">
        <f t="shared" si="35"/>
        <v>0</v>
      </c>
      <c r="AK99" s="856">
        <f t="shared" si="31"/>
        <v>0</v>
      </c>
      <c r="AL99" s="859"/>
      <c r="AM99" s="738"/>
      <c r="AN99" s="739" t="s">
        <v>348</v>
      </c>
      <c r="AO99" s="740" t="s">
        <v>1748</v>
      </c>
      <c r="AP99" s="741"/>
      <c r="AQ99" s="741"/>
    </row>
    <row r="100" spans="1:43" ht="93.75" customHeight="1">
      <c r="A100" s="782" t="s">
        <v>1762</v>
      </c>
      <c r="B100" s="860" t="s">
        <v>1763</v>
      </c>
      <c r="C100" s="841">
        <v>1</v>
      </c>
      <c r="D100" s="842">
        <v>1</v>
      </c>
      <c r="E100" s="714">
        <v>1</v>
      </c>
      <c r="F100" s="715">
        <v>2</v>
      </c>
      <c r="G100" s="715"/>
      <c r="H100" s="717">
        <f t="shared" ref="H100:H105" si="48">IF((E100+G100)/C100&gt;=100%,100%,(E100+G100)/C100)</f>
        <v>1</v>
      </c>
      <c r="I100" s="717">
        <f t="shared" ref="I100:I102" si="49">IF(F100/D100&gt;=100%,100%,F100/D100)</f>
        <v>1</v>
      </c>
      <c r="J100" s="889" t="s">
        <v>1764</v>
      </c>
      <c r="K100" s="858"/>
      <c r="L100" s="719"/>
      <c r="M100" s="720"/>
      <c r="N100" s="721"/>
      <c r="O100" s="858"/>
      <c r="P100" s="858"/>
      <c r="Q100" s="858"/>
      <c r="R100" s="722"/>
      <c r="S100" s="858"/>
      <c r="T100" s="854">
        <v>4</v>
      </c>
      <c r="U100" s="725">
        <f t="shared" si="47"/>
        <v>3</v>
      </c>
      <c r="V100" s="726">
        <f t="shared" si="44"/>
        <v>0.75</v>
      </c>
      <c r="W100" s="743">
        <v>0.15</v>
      </c>
      <c r="X100" s="716">
        <v>0.1</v>
      </c>
      <c r="Y100" s="754"/>
      <c r="Z100" s="881"/>
      <c r="AA100" s="881"/>
      <c r="AB100" s="730" t="e">
        <f t="shared" si="42"/>
        <v>#DIV/0!</v>
      </c>
      <c r="AC100" s="882"/>
      <c r="AD100" s="734" t="e">
        <f t="shared" si="28"/>
        <v>#DIV/0!</v>
      </c>
      <c r="AE100" s="883">
        <f t="shared" si="29"/>
        <v>0</v>
      </c>
      <c r="AF100" s="883"/>
      <c r="AG100" s="883"/>
      <c r="AH100" s="734" t="e">
        <f t="shared" si="30"/>
        <v>#DIV/0!</v>
      </c>
      <c r="AI100" s="754">
        <v>710000000</v>
      </c>
      <c r="AJ100" s="855">
        <f t="shared" si="35"/>
        <v>0</v>
      </c>
      <c r="AK100" s="856">
        <f t="shared" si="31"/>
        <v>0</v>
      </c>
      <c r="AL100" s="859"/>
      <c r="AM100" s="738" t="s">
        <v>1318</v>
      </c>
      <c r="AN100" s="884"/>
      <c r="AO100" s="740" t="s">
        <v>1748</v>
      </c>
      <c r="AP100" s="741"/>
      <c r="AQ100" s="741"/>
    </row>
    <row r="101" spans="1:43" ht="107.25" customHeight="1">
      <c r="A101" s="773" t="s">
        <v>1765</v>
      </c>
      <c r="B101" s="860" t="s">
        <v>1766</v>
      </c>
      <c r="C101" s="841">
        <v>1</v>
      </c>
      <c r="D101" s="842">
        <v>1</v>
      </c>
      <c r="E101" s="714">
        <v>1</v>
      </c>
      <c r="F101" s="715">
        <v>2</v>
      </c>
      <c r="G101" s="715"/>
      <c r="H101" s="717">
        <f t="shared" si="48"/>
        <v>1</v>
      </c>
      <c r="I101" s="717">
        <f t="shared" si="49"/>
        <v>1</v>
      </c>
      <c r="J101" s="858" t="s">
        <v>1767</v>
      </c>
      <c r="K101" s="858"/>
      <c r="L101" s="719"/>
      <c r="M101" s="720"/>
      <c r="N101" s="721"/>
      <c r="O101" s="858"/>
      <c r="P101" s="858"/>
      <c r="Q101" s="858"/>
      <c r="R101" s="722"/>
      <c r="S101" s="858"/>
      <c r="T101" s="854">
        <v>4</v>
      </c>
      <c r="U101" s="725">
        <f t="shared" si="47"/>
        <v>3</v>
      </c>
      <c r="V101" s="726">
        <f t="shared" si="44"/>
        <v>0.75</v>
      </c>
      <c r="W101" s="743">
        <v>0.14000000000000001</v>
      </c>
      <c r="X101" s="716">
        <v>0.1</v>
      </c>
      <c r="Y101" s="754"/>
      <c r="Z101" s="881"/>
      <c r="AA101" s="881"/>
      <c r="AB101" s="730" t="e">
        <f t="shared" si="42"/>
        <v>#DIV/0!</v>
      </c>
      <c r="AC101" s="882"/>
      <c r="AD101" s="734" t="e">
        <f t="shared" si="28"/>
        <v>#DIV/0!</v>
      </c>
      <c r="AE101" s="883">
        <f t="shared" si="29"/>
        <v>0</v>
      </c>
      <c r="AF101" s="883"/>
      <c r="AG101" s="883"/>
      <c r="AH101" s="734" t="e">
        <f t="shared" si="30"/>
        <v>#DIV/0!</v>
      </c>
      <c r="AI101" s="754">
        <v>827570274</v>
      </c>
      <c r="AJ101" s="855">
        <f t="shared" si="35"/>
        <v>0</v>
      </c>
      <c r="AK101" s="856">
        <f t="shared" si="31"/>
        <v>0</v>
      </c>
      <c r="AL101" s="859"/>
      <c r="AM101" s="738" t="s">
        <v>1318</v>
      </c>
      <c r="AN101" s="739" t="s">
        <v>449</v>
      </c>
      <c r="AO101" s="1275" t="s">
        <v>1768</v>
      </c>
      <c r="AP101" s="741"/>
      <c r="AQ101" s="741"/>
    </row>
    <row r="102" spans="1:43" ht="78.75" customHeight="1">
      <c r="A102" s="773" t="s">
        <v>1769</v>
      </c>
      <c r="B102" s="860" t="s">
        <v>1766</v>
      </c>
      <c r="C102" s="841">
        <v>1</v>
      </c>
      <c r="D102" s="842">
        <v>1</v>
      </c>
      <c r="E102" s="714">
        <v>1</v>
      </c>
      <c r="F102" s="715">
        <v>1</v>
      </c>
      <c r="G102" s="715"/>
      <c r="H102" s="717">
        <f t="shared" si="48"/>
        <v>1</v>
      </c>
      <c r="I102" s="717">
        <f t="shared" si="49"/>
        <v>1</v>
      </c>
      <c r="J102" s="858" t="s">
        <v>1770</v>
      </c>
      <c r="K102" s="858"/>
      <c r="L102" s="719"/>
      <c r="M102" s="720"/>
      <c r="N102" s="721"/>
      <c r="O102" s="858"/>
      <c r="P102" s="858"/>
      <c r="Q102" s="858"/>
      <c r="R102" s="722"/>
      <c r="S102" s="858"/>
      <c r="T102" s="854">
        <v>4</v>
      </c>
      <c r="U102" s="725">
        <f>SUM(E102:G102)</f>
        <v>2</v>
      </c>
      <c r="V102" s="726">
        <f t="shared" si="44"/>
        <v>0.5</v>
      </c>
      <c r="W102" s="743">
        <v>0.14000000000000001</v>
      </c>
      <c r="X102" s="716">
        <v>0.1</v>
      </c>
      <c r="Y102" s="754"/>
      <c r="Z102" s="881"/>
      <c r="AA102" s="881"/>
      <c r="AB102" s="730" t="e">
        <f t="shared" si="42"/>
        <v>#DIV/0!</v>
      </c>
      <c r="AC102" s="882"/>
      <c r="AD102" s="734" t="e">
        <f t="shared" si="28"/>
        <v>#DIV/0!</v>
      </c>
      <c r="AE102" s="883">
        <f t="shared" si="29"/>
        <v>0</v>
      </c>
      <c r="AF102" s="883"/>
      <c r="AG102" s="883"/>
      <c r="AH102" s="734" t="e">
        <f t="shared" si="30"/>
        <v>#DIV/0!</v>
      </c>
      <c r="AI102" s="754">
        <v>190000000</v>
      </c>
      <c r="AJ102" s="855">
        <f t="shared" si="35"/>
        <v>0</v>
      </c>
      <c r="AK102" s="856">
        <f t="shared" si="31"/>
        <v>0</v>
      </c>
      <c r="AL102" s="859"/>
      <c r="AM102" s="738" t="s">
        <v>1318</v>
      </c>
      <c r="AN102" s="739" t="s">
        <v>449</v>
      </c>
      <c r="AO102" s="1266"/>
      <c r="AP102" s="741"/>
      <c r="AQ102" s="741"/>
    </row>
    <row r="103" spans="1:43" s="709" customFormat="1" ht="68.25" customHeight="1">
      <c r="A103" s="687" t="s">
        <v>1771</v>
      </c>
      <c r="B103" s="688"/>
      <c r="C103" s="689"/>
      <c r="D103" s="690"/>
      <c r="E103" s="689"/>
      <c r="F103" s="691"/>
      <c r="G103" s="693"/>
      <c r="H103" s="693">
        <f>+(H104*60%)+(H105*40%)</f>
        <v>1</v>
      </c>
      <c r="I103" s="693">
        <f>+SUMPRODUCT(I104:I106,X104:X106)</f>
        <v>1</v>
      </c>
      <c r="J103" s="694"/>
      <c r="K103" s="694"/>
      <c r="L103" s="694"/>
      <c r="M103" s="688"/>
      <c r="N103" s="688"/>
      <c r="O103" s="694"/>
      <c r="P103" s="694"/>
      <c r="Q103" s="694"/>
      <c r="R103" s="770"/>
      <c r="S103" s="694"/>
      <c r="T103" s="696"/>
      <c r="U103" s="697"/>
      <c r="V103" s="676">
        <f>+SUMPRODUCT(V104:V106,W104:W106)</f>
        <v>0.60000000000000009</v>
      </c>
      <c r="W103" s="693">
        <v>0.2</v>
      </c>
      <c r="X103" s="693">
        <v>0.2</v>
      </c>
      <c r="Y103" s="699">
        <v>1476000000</v>
      </c>
      <c r="Z103" s="699">
        <v>1774319965</v>
      </c>
      <c r="AA103" s="699">
        <v>1428142367</v>
      </c>
      <c r="AB103" s="700">
        <f t="shared" si="42"/>
        <v>0.96757612940379401</v>
      </c>
      <c r="AC103" s="699">
        <v>1155427704.2</v>
      </c>
      <c r="AD103" s="693">
        <f t="shared" si="28"/>
        <v>0.78281009769647703</v>
      </c>
      <c r="AE103" s="870">
        <f t="shared" si="29"/>
        <v>272714662.79999995</v>
      </c>
      <c r="AF103" s="870">
        <v>345909911</v>
      </c>
      <c r="AG103" s="870">
        <v>327720211</v>
      </c>
      <c r="AH103" s="703">
        <f t="shared" si="30"/>
        <v>0.94741492099080094</v>
      </c>
      <c r="AI103" s="699">
        <f>SUM(AI104:AI106)</f>
        <v>11392057499.959999</v>
      </c>
      <c r="AJ103" s="699">
        <f>+SUM(Z103:AA103)</f>
        <v>3202462332</v>
      </c>
      <c r="AK103" s="693">
        <f t="shared" si="31"/>
        <v>0.28111360322849888</v>
      </c>
      <c r="AL103" s="694"/>
      <c r="AM103" s="705" t="s">
        <v>1318</v>
      </c>
      <c r="AN103" s="706"/>
      <c r="AO103" s="707"/>
      <c r="AP103" s="708"/>
      <c r="AQ103" s="708"/>
    </row>
    <row r="104" spans="1:43" ht="66.75" customHeight="1">
      <c r="A104" s="710" t="s">
        <v>1772</v>
      </c>
      <c r="B104" s="890" t="s">
        <v>1773</v>
      </c>
      <c r="C104" s="861">
        <v>1</v>
      </c>
      <c r="D104" s="862">
        <v>1</v>
      </c>
      <c r="E104" s="714">
        <v>1</v>
      </c>
      <c r="F104" s="715">
        <v>1</v>
      </c>
      <c r="G104" s="715"/>
      <c r="H104" s="717">
        <f t="shared" si="48"/>
        <v>1</v>
      </c>
      <c r="I104" s="717">
        <f>IF(F104/D104&gt;=100%,100%,F104/D104)</f>
        <v>1</v>
      </c>
      <c r="J104" s="718" t="s">
        <v>1774</v>
      </c>
      <c r="K104" s="718"/>
      <c r="L104" s="719"/>
      <c r="M104" s="720"/>
      <c r="N104" s="721"/>
      <c r="O104" s="718"/>
      <c r="P104" s="718"/>
      <c r="Q104" s="718"/>
      <c r="R104" s="722"/>
      <c r="S104" s="718"/>
      <c r="T104" s="724">
        <v>1</v>
      </c>
      <c r="U104" s="891">
        <f>SUM(E104:G104)/4</f>
        <v>0.5</v>
      </c>
      <c r="V104" s="753">
        <f t="shared" si="44"/>
        <v>0.5</v>
      </c>
      <c r="W104" s="743">
        <v>0.6</v>
      </c>
      <c r="X104" s="716">
        <v>0.6</v>
      </c>
      <c r="Y104" s="754"/>
      <c r="Z104" s="729"/>
      <c r="AA104" s="729"/>
      <c r="AB104" s="730" t="e">
        <f t="shared" si="42"/>
        <v>#DIV/0!</v>
      </c>
      <c r="AC104" s="875"/>
      <c r="AD104" s="716" t="e">
        <f t="shared" si="28"/>
        <v>#DIV/0!</v>
      </c>
      <c r="AE104" s="876">
        <f t="shared" si="29"/>
        <v>0</v>
      </c>
      <c r="AF104" s="876"/>
      <c r="AG104" s="876"/>
      <c r="AH104" s="734" t="e">
        <f t="shared" si="30"/>
        <v>#DIV/0!</v>
      </c>
      <c r="AI104" s="754">
        <v>4728920833.3199997</v>
      </c>
      <c r="AJ104" s="735">
        <f t="shared" si="35"/>
        <v>0</v>
      </c>
      <c r="AK104" s="772">
        <f t="shared" si="31"/>
        <v>0</v>
      </c>
      <c r="AL104" s="744"/>
      <c r="AM104" s="738" t="s">
        <v>1318</v>
      </c>
      <c r="AN104" s="884"/>
      <c r="AO104" s="863" t="s">
        <v>1591</v>
      </c>
      <c r="AP104" s="741"/>
      <c r="AQ104" s="741"/>
    </row>
    <row r="105" spans="1:43" ht="72" customHeight="1">
      <c r="A105" s="710" t="s">
        <v>1775</v>
      </c>
      <c r="B105" s="892" t="s">
        <v>1776</v>
      </c>
      <c r="C105" s="861">
        <v>1</v>
      </c>
      <c r="D105" s="862">
        <v>2</v>
      </c>
      <c r="E105" s="714">
        <v>7</v>
      </c>
      <c r="F105" s="715">
        <v>2</v>
      </c>
      <c r="G105" s="715"/>
      <c r="H105" s="717">
        <f t="shared" si="48"/>
        <v>1</v>
      </c>
      <c r="I105" s="717">
        <f>IF(F105/D105&gt;=100%,100%,F105/D105)</f>
        <v>1</v>
      </c>
      <c r="J105" s="718" t="s">
        <v>1777</v>
      </c>
      <c r="K105" s="718"/>
      <c r="L105" s="719"/>
      <c r="M105" s="720"/>
      <c r="N105" s="721"/>
      <c r="O105" s="718"/>
      <c r="P105" s="718"/>
      <c r="Q105" s="718"/>
      <c r="R105" s="722"/>
      <c r="S105" s="718"/>
      <c r="T105" s="724">
        <v>7</v>
      </c>
      <c r="U105" s="725">
        <f t="shared" ref="U105:U106" si="50">SUM(E105:G105)</f>
        <v>9</v>
      </c>
      <c r="V105" s="726">
        <f>IF(U105/T105&gt;=100%,100%,U105/T105)</f>
        <v>1</v>
      </c>
      <c r="W105" s="743">
        <v>0.25</v>
      </c>
      <c r="X105" s="716">
        <v>0.2</v>
      </c>
      <c r="Y105" s="754"/>
      <c r="Z105" s="729"/>
      <c r="AA105" s="729"/>
      <c r="AB105" s="730" t="e">
        <f t="shared" si="42"/>
        <v>#DIV/0!</v>
      </c>
      <c r="AC105" s="875"/>
      <c r="AD105" s="716" t="e">
        <f t="shared" si="28"/>
        <v>#DIV/0!</v>
      </c>
      <c r="AE105" s="876">
        <f t="shared" si="29"/>
        <v>0</v>
      </c>
      <c r="AF105" s="876"/>
      <c r="AG105" s="876"/>
      <c r="AH105" s="734" t="e">
        <f t="shared" si="30"/>
        <v>#DIV/0!</v>
      </c>
      <c r="AI105" s="754">
        <v>4781568333.3199997</v>
      </c>
      <c r="AJ105" s="735">
        <f t="shared" si="35"/>
        <v>0</v>
      </c>
      <c r="AK105" s="772">
        <f t="shared" si="31"/>
        <v>0</v>
      </c>
      <c r="AL105" s="744"/>
      <c r="AM105" s="738" t="s">
        <v>1318</v>
      </c>
      <c r="AN105" s="739" t="s">
        <v>480</v>
      </c>
      <c r="AO105" s="1264" t="s">
        <v>1778</v>
      </c>
      <c r="AP105" s="741"/>
      <c r="AQ105" s="741"/>
    </row>
    <row r="106" spans="1:43" ht="70.5" customHeight="1">
      <c r="A106" s="710" t="s">
        <v>1779</v>
      </c>
      <c r="B106" s="892" t="s">
        <v>1776</v>
      </c>
      <c r="C106" s="861">
        <v>0</v>
      </c>
      <c r="D106" s="862">
        <v>1</v>
      </c>
      <c r="E106" s="714">
        <v>0</v>
      </c>
      <c r="F106" s="715">
        <v>1</v>
      </c>
      <c r="G106" s="715"/>
      <c r="H106" s="717" t="s">
        <v>1536</v>
      </c>
      <c r="I106" s="717">
        <f>IF(F106/D106&gt;=100%,100%,F106/D106)</f>
        <v>1</v>
      </c>
      <c r="J106" s="718" t="s">
        <v>1780</v>
      </c>
      <c r="K106" s="718"/>
      <c r="L106" s="719"/>
      <c r="M106" s="720"/>
      <c r="N106" s="721"/>
      <c r="O106" s="718"/>
      <c r="P106" s="718"/>
      <c r="Q106" s="718"/>
      <c r="R106" s="722"/>
      <c r="S106" s="718"/>
      <c r="T106" s="724">
        <v>3</v>
      </c>
      <c r="U106" s="725">
        <f t="shared" si="50"/>
        <v>1</v>
      </c>
      <c r="V106" s="726">
        <f>IF(U106/T106&gt;=100%,100%,U106/T106)</f>
        <v>0.33333333333333331</v>
      </c>
      <c r="W106" s="743">
        <v>0.15</v>
      </c>
      <c r="X106" s="716">
        <v>0.2</v>
      </c>
      <c r="Y106" s="754"/>
      <c r="Z106" s="729"/>
      <c r="AA106" s="729"/>
      <c r="AB106" s="730" t="e">
        <f t="shared" si="42"/>
        <v>#DIV/0!</v>
      </c>
      <c r="AC106" s="875"/>
      <c r="AD106" s="716" t="e">
        <f t="shared" si="28"/>
        <v>#DIV/0!</v>
      </c>
      <c r="AE106" s="876">
        <f t="shared" si="29"/>
        <v>0</v>
      </c>
      <c r="AF106" s="876"/>
      <c r="AG106" s="876"/>
      <c r="AH106" s="734" t="e">
        <f t="shared" si="30"/>
        <v>#DIV/0!</v>
      </c>
      <c r="AI106" s="754">
        <v>1881568333.3199997</v>
      </c>
      <c r="AJ106" s="735">
        <f t="shared" si="35"/>
        <v>0</v>
      </c>
      <c r="AK106" s="772">
        <f t="shared" si="31"/>
        <v>0</v>
      </c>
      <c r="AL106" s="744"/>
      <c r="AM106" s="738" t="s">
        <v>1318</v>
      </c>
      <c r="AN106" s="739" t="s">
        <v>526</v>
      </c>
      <c r="AO106" s="1266"/>
      <c r="AP106" s="741"/>
      <c r="AQ106" s="741"/>
    </row>
    <row r="107" spans="1:43" s="709" customFormat="1" ht="25.5">
      <c r="A107" s="666" t="s">
        <v>1781</v>
      </c>
      <c r="B107" s="783"/>
      <c r="C107" s="784"/>
      <c r="D107" s="785"/>
      <c r="E107" s="784"/>
      <c r="F107" s="786"/>
      <c r="G107" s="786"/>
      <c r="H107" s="671">
        <f>+(H108*W108)</f>
        <v>0.99999999999999989</v>
      </c>
      <c r="I107" s="671">
        <f>+(I108*X108)</f>
        <v>0.96666666666666679</v>
      </c>
      <c r="J107" s="787"/>
      <c r="K107" s="787"/>
      <c r="L107" s="787"/>
      <c r="M107" s="783"/>
      <c r="N107" s="783"/>
      <c r="O107" s="787"/>
      <c r="P107" s="787"/>
      <c r="Q107" s="787"/>
      <c r="R107" s="789"/>
      <c r="S107" s="787"/>
      <c r="T107" s="791"/>
      <c r="U107" s="792"/>
      <c r="V107" s="676">
        <f>+(V108*W108)</f>
        <v>0.37738095238095248</v>
      </c>
      <c r="W107" s="671">
        <v>0.43</v>
      </c>
      <c r="X107" s="677">
        <v>0.43</v>
      </c>
      <c r="Y107" s="678">
        <f>+Y108</f>
        <v>5236000000</v>
      </c>
      <c r="Z107" s="678">
        <f>+Z108</f>
        <v>1663665173</v>
      </c>
      <c r="AA107" s="678">
        <f>+AA108</f>
        <v>4931582636.2600002</v>
      </c>
      <c r="AB107" s="679">
        <f t="shared" si="42"/>
        <v>0.94186070211229955</v>
      </c>
      <c r="AC107" s="678">
        <f>+AC108</f>
        <v>3615582636.2600002</v>
      </c>
      <c r="AD107" s="671">
        <f t="shared" si="28"/>
        <v>0.69052380371657762</v>
      </c>
      <c r="AE107" s="893">
        <f t="shared" si="29"/>
        <v>1316000000</v>
      </c>
      <c r="AF107" s="678">
        <f>+AF108</f>
        <v>2062403568</v>
      </c>
      <c r="AG107" s="678">
        <f>+AG108</f>
        <v>2015352818</v>
      </c>
      <c r="AH107" s="793">
        <f t="shared" si="30"/>
        <v>0.97718644850598901</v>
      </c>
      <c r="AI107" s="678">
        <f>+AI108</f>
        <v>17698353052</v>
      </c>
      <c r="AJ107" s="678">
        <f>+AJ108</f>
        <v>6595247809.2600002</v>
      </c>
      <c r="AK107" s="671">
        <f t="shared" si="31"/>
        <v>0.37264754465471039</v>
      </c>
      <c r="AL107" s="787"/>
      <c r="AM107" s="683"/>
      <c r="AN107" s="684"/>
      <c r="AO107" s="685"/>
      <c r="AP107" s="833"/>
      <c r="AQ107" s="833"/>
    </row>
    <row r="108" spans="1:43" ht="38.25">
      <c r="A108" s="894" t="s">
        <v>1782</v>
      </c>
      <c r="B108" s="895"/>
      <c r="C108" s="896"/>
      <c r="D108" s="897"/>
      <c r="E108" s="896"/>
      <c r="F108" s="898"/>
      <c r="G108" s="898"/>
      <c r="H108" s="899">
        <f>+(H110*15%)+(H111*10%)+(H114*15%)+(H117*10%)+(H118*10%)+(H119*10%)+(H120*10%)+(H122*10%)+(H123*10%)</f>
        <v>0.99999999999999989</v>
      </c>
      <c r="I108" s="693">
        <f>+SUMPRODUCT(I109:I123,X109:X123)</f>
        <v>0.96666666666666679</v>
      </c>
      <c r="J108" s="900"/>
      <c r="K108" s="900"/>
      <c r="L108" s="900"/>
      <c r="M108" s="895"/>
      <c r="N108" s="895"/>
      <c r="O108" s="900"/>
      <c r="P108" s="900"/>
      <c r="Q108" s="900"/>
      <c r="R108" s="901"/>
      <c r="S108" s="900"/>
      <c r="T108" s="902"/>
      <c r="U108" s="903"/>
      <c r="V108" s="904">
        <f>+SUMPRODUCT(V109:V123,W109:W123)</f>
        <v>0.37738095238095248</v>
      </c>
      <c r="W108" s="904">
        <v>1</v>
      </c>
      <c r="X108" s="905">
        <v>1</v>
      </c>
      <c r="Y108" s="699">
        <v>5236000000</v>
      </c>
      <c r="Z108" s="699">
        <v>1663665173</v>
      </c>
      <c r="AA108" s="699">
        <v>4931582636.2600002</v>
      </c>
      <c r="AB108" s="906">
        <f t="shared" si="42"/>
        <v>0.94186070211229955</v>
      </c>
      <c r="AC108" s="699">
        <v>3615582636.2600002</v>
      </c>
      <c r="AD108" s="904">
        <f t="shared" si="28"/>
        <v>0.69052380371657762</v>
      </c>
      <c r="AE108" s="870">
        <f t="shared" si="29"/>
        <v>1316000000</v>
      </c>
      <c r="AF108" s="907">
        <v>2062403568</v>
      </c>
      <c r="AG108" s="870">
        <v>2015352818</v>
      </c>
      <c r="AH108" s="703">
        <f t="shared" si="30"/>
        <v>0.97718644850598901</v>
      </c>
      <c r="AI108" s="699">
        <f>SUM(AI109:AI123)</f>
        <v>17698353052</v>
      </c>
      <c r="AJ108" s="699">
        <f>+SUM(Z108:AA108)</f>
        <v>6595247809.2600002</v>
      </c>
      <c r="AK108" s="693">
        <f t="shared" si="31"/>
        <v>0.37264754465471039</v>
      </c>
      <c r="AL108" s="694"/>
      <c r="AM108" s="705" t="s">
        <v>1319</v>
      </c>
      <c r="AN108" s="706"/>
      <c r="AO108" s="707"/>
      <c r="AP108" s="908"/>
      <c r="AQ108" s="908"/>
    </row>
    <row r="109" spans="1:43" ht="127.5" customHeight="1">
      <c r="A109" s="745" t="s">
        <v>1783</v>
      </c>
      <c r="B109" s="909" t="s">
        <v>1784</v>
      </c>
      <c r="C109" s="841">
        <v>0</v>
      </c>
      <c r="D109" s="842">
        <v>1</v>
      </c>
      <c r="E109" s="714">
        <v>0</v>
      </c>
      <c r="F109" s="715">
        <v>1</v>
      </c>
      <c r="G109" s="715"/>
      <c r="H109" s="761" t="s">
        <v>1536</v>
      </c>
      <c r="I109" s="717">
        <f>IF(F109/D109&gt;=100%,100%,F109/D109)</f>
        <v>1</v>
      </c>
      <c r="J109" s="718" t="s">
        <v>1785</v>
      </c>
      <c r="K109" s="718"/>
      <c r="L109" s="719"/>
      <c r="M109" s="720"/>
      <c r="N109" s="721"/>
      <c r="O109" s="718"/>
      <c r="P109" s="718"/>
      <c r="Q109" s="718"/>
      <c r="R109" s="722"/>
      <c r="S109" s="718"/>
      <c r="T109" s="724">
        <v>4</v>
      </c>
      <c r="U109" s="725">
        <f>SUM(E109:G109)</f>
        <v>1</v>
      </c>
      <c r="V109" s="726">
        <f>IF(U109/T109&gt;=100%,100%,U109/T109)</f>
        <v>0.25</v>
      </c>
      <c r="W109" s="910">
        <v>0.08</v>
      </c>
      <c r="X109" s="716">
        <v>0.1</v>
      </c>
      <c r="Y109" s="754"/>
      <c r="Z109" s="729"/>
      <c r="AA109" s="729"/>
      <c r="AB109" s="730" t="e">
        <f t="shared" si="42"/>
        <v>#DIV/0!</v>
      </c>
      <c r="AC109" s="875"/>
      <c r="AD109" s="716" t="e">
        <f t="shared" si="28"/>
        <v>#DIV/0!</v>
      </c>
      <c r="AE109" s="876">
        <f t="shared" si="29"/>
        <v>0</v>
      </c>
      <c r="AF109" s="876"/>
      <c r="AG109" s="876"/>
      <c r="AH109" s="734" t="e">
        <f t="shared" si="30"/>
        <v>#DIV/0!</v>
      </c>
      <c r="AI109" s="754">
        <v>250199819</v>
      </c>
      <c r="AJ109" s="735">
        <f t="shared" si="35"/>
        <v>0</v>
      </c>
      <c r="AK109" s="772">
        <f t="shared" si="31"/>
        <v>0</v>
      </c>
      <c r="AL109" s="744"/>
      <c r="AM109" s="738" t="s">
        <v>1319</v>
      </c>
      <c r="AN109" s="739" t="s">
        <v>1145</v>
      </c>
      <c r="AO109" s="1264" t="s">
        <v>1786</v>
      </c>
      <c r="AP109" s="741"/>
      <c r="AQ109" s="741"/>
    </row>
    <row r="110" spans="1:43" ht="235.5" customHeight="1">
      <c r="A110" s="745" t="s">
        <v>1787</v>
      </c>
      <c r="B110" s="911" t="s">
        <v>1788</v>
      </c>
      <c r="C110" s="841">
        <v>4</v>
      </c>
      <c r="D110" s="842">
        <v>8</v>
      </c>
      <c r="E110" s="714">
        <v>4</v>
      </c>
      <c r="F110" s="715">
        <v>11</v>
      </c>
      <c r="G110" s="715"/>
      <c r="H110" s="717">
        <f t="shared" ref="H110:H111" si="51">IF((E110+G110)/C110&gt;=100%,100%,(E110+G110)/C110)</f>
        <v>1</v>
      </c>
      <c r="I110" s="717">
        <f t="shared" ref="I110:I119" si="52">IF(F110/D110&gt;=100%,100%,F110/D110)</f>
        <v>1</v>
      </c>
      <c r="J110" s="718" t="s">
        <v>1789</v>
      </c>
      <c r="K110" s="718"/>
      <c r="L110" s="719"/>
      <c r="M110" s="720"/>
      <c r="N110" s="721"/>
      <c r="O110" s="718"/>
      <c r="P110" s="718"/>
      <c r="Q110" s="718"/>
      <c r="R110" s="722"/>
      <c r="S110" s="718"/>
      <c r="T110" s="724">
        <v>28</v>
      </c>
      <c r="U110" s="725">
        <f t="shared" ref="U110:U117" si="53">SUM(E110:G110)</f>
        <v>15</v>
      </c>
      <c r="V110" s="726">
        <f>IF(U110/T110&gt;=100%,100%,U110/T110)</f>
        <v>0.5357142857142857</v>
      </c>
      <c r="W110" s="910">
        <v>0.11</v>
      </c>
      <c r="X110" s="716">
        <v>0.1</v>
      </c>
      <c r="Y110" s="754"/>
      <c r="Z110" s="729"/>
      <c r="AA110" s="729"/>
      <c r="AB110" s="730" t="e">
        <f t="shared" si="42"/>
        <v>#DIV/0!</v>
      </c>
      <c r="AC110" s="875"/>
      <c r="AD110" s="716" t="e">
        <f t="shared" si="28"/>
        <v>#DIV/0!</v>
      </c>
      <c r="AE110" s="876">
        <f t="shared" si="29"/>
        <v>0</v>
      </c>
      <c r="AF110" s="876"/>
      <c r="AG110" s="876"/>
      <c r="AH110" s="734" t="e">
        <f t="shared" si="30"/>
        <v>#DIV/0!</v>
      </c>
      <c r="AI110" s="754">
        <v>5775000000</v>
      </c>
      <c r="AJ110" s="735">
        <f t="shared" si="35"/>
        <v>0</v>
      </c>
      <c r="AK110" s="772">
        <f t="shared" si="31"/>
        <v>0</v>
      </c>
      <c r="AL110" s="744"/>
      <c r="AM110" s="738" t="s">
        <v>1319</v>
      </c>
      <c r="AN110" s="739" t="s">
        <v>220</v>
      </c>
      <c r="AO110" s="1265"/>
      <c r="AP110" s="741"/>
      <c r="AQ110" s="741"/>
    </row>
    <row r="111" spans="1:43" ht="68.25" customHeight="1">
      <c r="A111" s="745" t="s">
        <v>1790</v>
      </c>
      <c r="B111" s="911" t="s">
        <v>1791</v>
      </c>
      <c r="C111" s="841">
        <v>8</v>
      </c>
      <c r="D111" s="842">
        <v>8</v>
      </c>
      <c r="E111" s="714">
        <v>8</v>
      </c>
      <c r="F111" s="715">
        <v>8</v>
      </c>
      <c r="G111" s="715"/>
      <c r="H111" s="717">
        <f t="shared" si="51"/>
        <v>1</v>
      </c>
      <c r="I111" s="717">
        <f t="shared" si="52"/>
        <v>1</v>
      </c>
      <c r="J111" s="718" t="s">
        <v>1792</v>
      </c>
      <c r="K111" s="718"/>
      <c r="L111" s="719"/>
      <c r="M111" s="720"/>
      <c r="N111" s="721"/>
      <c r="O111" s="718"/>
      <c r="P111" s="718"/>
      <c r="Q111" s="718"/>
      <c r="R111" s="722"/>
      <c r="S111" s="718"/>
      <c r="T111" s="724">
        <v>8</v>
      </c>
      <c r="U111" s="891">
        <f>SUM(E111:G111)/4</f>
        <v>4</v>
      </c>
      <c r="V111" s="753">
        <f>IF(U111/T111&gt;=100%,100%,U111/T111)</f>
        <v>0.5</v>
      </c>
      <c r="W111" s="743">
        <v>0.06</v>
      </c>
      <c r="X111" s="716">
        <v>0.05</v>
      </c>
      <c r="Y111" s="754"/>
      <c r="Z111" s="729"/>
      <c r="AA111" s="729"/>
      <c r="AB111" s="730" t="e">
        <f t="shared" si="42"/>
        <v>#DIV/0!</v>
      </c>
      <c r="AC111" s="875"/>
      <c r="AD111" s="716" t="e">
        <f t="shared" si="28"/>
        <v>#DIV/0!</v>
      </c>
      <c r="AE111" s="876">
        <f t="shared" si="29"/>
        <v>0</v>
      </c>
      <c r="AF111" s="876"/>
      <c r="AG111" s="876"/>
      <c r="AH111" s="734" t="e">
        <f t="shared" si="30"/>
        <v>#DIV/0!</v>
      </c>
      <c r="AI111" s="754">
        <v>447549953</v>
      </c>
      <c r="AJ111" s="735">
        <f t="shared" si="35"/>
        <v>0</v>
      </c>
      <c r="AK111" s="772">
        <f t="shared" si="31"/>
        <v>0</v>
      </c>
      <c r="AL111" s="744"/>
      <c r="AM111" s="738" t="s">
        <v>1319</v>
      </c>
      <c r="AN111" s="739" t="s">
        <v>220</v>
      </c>
      <c r="AO111" s="1265"/>
      <c r="AP111" s="741"/>
      <c r="AQ111" s="741"/>
    </row>
    <row r="112" spans="1:43" ht="134.25" customHeight="1">
      <c r="A112" s="745" t="s">
        <v>1793</v>
      </c>
      <c r="B112" s="911" t="s">
        <v>1794</v>
      </c>
      <c r="C112" s="841">
        <v>0</v>
      </c>
      <c r="D112" s="842">
        <v>1</v>
      </c>
      <c r="E112" s="714">
        <v>0</v>
      </c>
      <c r="F112" s="715">
        <v>1</v>
      </c>
      <c r="G112" s="715"/>
      <c r="H112" s="761" t="s">
        <v>1536</v>
      </c>
      <c r="I112" s="717">
        <f t="shared" si="52"/>
        <v>1</v>
      </c>
      <c r="J112" s="718" t="s">
        <v>1795</v>
      </c>
      <c r="K112" s="718"/>
      <c r="L112" s="719"/>
      <c r="M112" s="720"/>
      <c r="N112" s="721"/>
      <c r="O112" s="718"/>
      <c r="P112" s="718"/>
      <c r="Q112" s="718"/>
      <c r="R112" s="722"/>
      <c r="S112" s="718"/>
      <c r="T112" s="724">
        <v>3</v>
      </c>
      <c r="U112" s="725">
        <f t="shared" si="53"/>
        <v>1</v>
      </c>
      <c r="V112" s="726">
        <f t="shared" ref="V112:V123" si="54">IF(U112/T112&gt;=100%,100%,U112/T112)</f>
        <v>0.33333333333333331</v>
      </c>
      <c r="W112" s="743">
        <v>0.04</v>
      </c>
      <c r="X112" s="716">
        <v>0.05</v>
      </c>
      <c r="Y112" s="754"/>
      <c r="Z112" s="729"/>
      <c r="AA112" s="729"/>
      <c r="AB112" s="730" t="e">
        <f t="shared" si="42"/>
        <v>#DIV/0!</v>
      </c>
      <c r="AC112" s="875"/>
      <c r="AD112" s="716" t="e">
        <f t="shared" si="28"/>
        <v>#DIV/0!</v>
      </c>
      <c r="AE112" s="876">
        <f t="shared" si="29"/>
        <v>0</v>
      </c>
      <c r="AF112" s="876"/>
      <c r="AG112" s="876"/>
      <c r="AH112" s="734" t="e">
        <f t="shared" si="30"/>
        <v>#DIV/0!</v>
      </c>
      <c r="AI112" s="754">
        <v>232549953</v>
      </c>
      <c r="AJ112" s="735">
        <f t="shared" si="35"/>
        <v>0</v>
      </c>
      <c r="AK112" s="772">
        <f t="shared" si="31"/>
        <v>0</v>
      </c>
      <c r="AL112" s="744"/>
      <c r="AM112" s="738" t="s">
        <v>1319</v>
      </c>
      <c r="AN112" s="739" t="s">
        <v>1145</v>
      </c>
      <c r="AO112" s="1265"/>
      <c r="AP112" s="741"/>
      <c r="AQ112" s="741"/>
    </row>
    <row r="113" spans="1:43" ht="98.25" customHeight="1">
      <c r="A113" s="745" t="s">
        <v>1796</v>
      </c>
      <c r="B113" s="911" t="s">
        <v>1797</v>
      </c>
      <c r="C113" s="756">
        <v>1</v>
      </c>
      <c r="D113" s="757">
        <v>1</v>
      </c>
      <c r="E113" s="714">
        <v>1</v>
      </c>
      <c r="F113" s="715">
        <v>1</v>
      </c>
      <c r="G113" s="715"/>
      <c r="H113" s="717">
        <f t="shared" ref="H113:H114" si="55">IF((E113+G113)/C113&gt;=100%,100%,(E113+G113)/C113)</f>
        <v>1</v>
      </c>
      <c r="I113" s="717">
        <f t="shared" si="52"/>
        <v>1</v>
      </c>
      <c r="J113" s="718" t="s">
        <v>1798</v>
      </c>
      <c r="K113" s="718"/>
      <c r="L113" s="719"/>
      <c r="M113" s="720"/>
      <c r="N113" s="721"/>
      <c r="O113" s="718"/>
      <c r="P113" s="718"/>
      <c r="Q113" s="718"/>
      <c r="R113" s="722"/>
      <c r="S113" s="718"/>
      <c r="T113" s="724">
        <v>5</v>
      </c>
      <c r="U113" s="725">
        <f t="shared" si="53"/>
        <v>2</v>
      </c>
      <c r="V113" s="726">
        <f t="shared" si="54"/>
        <v>0.4</v>
      </c>
      <c r="W113" s="910">
        <v>0.08</v>
      </c>
      <c r="X113" s="716">
        <v>0.1</v>
      </c>
      <c r="Y113" s="754"/>
      <c r="Z113" s="729"/>
      <c r="AA113" s="729"/>
      <c r="AB113" s="730" t="e">
        <f t="shared" si="42"/>
        <v>#DIV/0!</v>
      </c>
      <c r="AC113" s="875"/>
      <c r="AD113" s="716" t="e">
        <f t="shared" si="28"/>
        <v>#DIV/0!</v>
      </c>
      <c r="AE113" s="876">
        <f t="shared" si="29"/>
        <v>0</v>
      </c>
      <c r="AF113" s="876"/>
      <c r="AG113" s="876"/>
      <c r="AH113" s="734" t="e">
        <f t="shared" si="30"/>
        <v>#DIV/0!</v>
      </c>
      <c r="AI113" s="754">
        <v>2425000000</v>
      </c>
      <c r="AJ113" s="735">
        <f t="shared" si="35"/>
        <v>0</v>
      </c>
      <c r="AK113" s="772">
        <f t="shared" si="31"/>
        <v>0</v>
      </c>
      <c r="AL113" s="744"/>
      <c r="AM113" s="738" t="s">
        <v>1319</v>
      </c>
      <c r="AN113" s="739" t="s">
        <v>220</v>
      </c>
      <c r="AO113" s="1265"/>
      <c r="AP113" s="741"/>
      <c r="AQ113" s="741"/>
    </row>
    <row r="114" spans="1:43" ht="113.25" customHeight="1">
      <c r="A114" s="745" t="s">
        <v>1799</v>
      </c>
      <c r="B114" s="911" t="s">
        <v>1800</v>
      </c>
      <c r="C114" s="841">
        <v>1</v>
      </c>
      <c r="D114" s="842">
        <v>2</v>
      </c>
      <c r="E114" s="714">
        <v>1</v>
      </c>
      <c r="F114" s="715">
        <v>2</v>
      </c>
      <c r="G114" s="715"/>
      <c r="H114" s="717">
        <f t="shared" si="55"/>
        <v>1</v>
      </c>
      <c r="I114" s="717">
        <f t="shared" si="52"/>
        <v>1</v>
      </c>
      <c r="J114" s="718" t="s">
        <v>1801</v>
      </c>
      <c r="K114" s="718"/>
      <c r="L114" s="719"/>
      <c r="M114" s="720"/>
      <c r="N114" s="721"/>
      <c r="O114" s="718"/>
      <c r="P114" s="718"/>
      <c r="Q114" s="718"/>
      <c r="R114" s="722"/>
      <c r="S114" s="718"/>
      <c r="T114" s="724">
        <v>7</v>
      </c>
      <c r="U114" s="725">
        <f t="shared" si="53"/>
        <v>3</v>
      </c>
      <c r="V114" s="726">
        <f t="shared" si="54"/>
        <v>0.42857142857142855</v>
      </c>
      <c r="W114" s="910">
        <v>0.08</v>
      </c>
      <c r="X114" s="716">
        <v>0.05</v>
      </c>
      <c r="Y114" s="754"/>
      <c r="Z114" s="729"/>
      <c r="AA114" s="729"/>
      <c r="AB114" s="730" t="e">
        <f t="shared" si="42"/>
        <v>#DIV/0!</v>
      </c>
      <c r="AC114" s="875"/>
      <c r="AD114" s="716" t="e">
        <f t="shared" si="28"/>
        <v>#DIV/0!</v>
      </c>
      <c r="AE114" s="876">
        <f t="shared" si="29"/>
        <v>0</v>
      </c>
      <c r="AF114" s="876"/>
      <c r="AG114" s="876"/>
      <c r="AH114" s="734" t="e">
        <f t="shared" si="30"/>
        <v>#DIV/0!</v>
      </c>
      <c r="AI114" s="754">
        <v>917549953</v>
      </c>
      <c r="AJ114" s="735">
        <f t="shared" si="35"/>
        <v>0</v>
      </c>
      <c r="AK114" s="772">
        <f t="shared" si="31"/>
        <v>0</v>
      </c>
      <c r="AL114" s="744"/>
      <c r="AM114" s="738" t="s">
        <v>1319</v>
      </c>
      <c r="AN114" s="739" t="s">
        <v>220</v>
      </c>
      <c r="AO114" s="1265"/>
      <c r="AP114" s="741"/>
      <c r="AQ114" s="741"/>
    </row>
    <row r="115" spans="1:43" ht="88.5" customHeight="1">
      <c r="A115" s="745" t="s">
        <v>1802</v>
      </c>
      <c r="B115" s="912" t="s">
        <v>1803</v>
      </c>
      <c r="C115" s="841">
        <v>0</v>
      </c>
      <c r="D115" s="842">
        <v>1</v>
      </c>
      <c r="E115" s="714">
        <v>0</v>
      </c>
      <c r="F115" s="715">
        <v>1</v>
      </c>
      <c r="G115" s="715"/>
      <c r="H115" s="761" t="s">
        <v>1536</v>
      </c>
      <c r="I115" s="717">
        <f t="shared" si="52"/>
        <v>1</v>
      </c>
      <c r="J115" s="718" t="s">
        <v>1804</v>
      </c>
      <c r="K115" s="718"/>
      <c r="L115" s="719"/>
      <c r="M115" s="720"/>
      <c r="N115" s="721"/>
      <c r="O115" s="718"/>
      <c r="P115" s="718"/>
      <c r="Q115" s="718"/>
      <c r="R115" s="722"/>
      <c r="S115" s="718"/>
      <c r="T115" s="724">
        <v>3</v>
      </c>
      <c r="U115" s="725">
        <f t="shared" si="53"/>
        <v>1</v>
      </c>
      <c r="V115" s="726">
        <f t="shared" si="54"/>
        <v>0.33333333333333331</v>
      </c>
      <c r="W115" s="743">
        <v>0.04</v>
      </c>
      <c r="X115" s="716">
        <v>0.05</v>
      </c>
      <c r="Y115" s="754"/>
      <c r="Z115" s="729"/>
      <c r="AA115" s="729"/>
      <c r="AB115" s="730" t="e">
        <f>+AA115/Y115</f>
        <v>#DIV/0!</v>
      </c>
      <c r="AC115" s="875"/>
      <c r="AD115" s="716" t="e">
        <f t="shared" si="28"/>
        <v>#DIV/0!</v>
      </c>
      <c r="AE115" s="876">
        <f t="shared" si="29"/>
        <v>0</v>
      </c>
      <c r="AF115" s="876"/>
      <c r="AG115" s="876"/>
      <c r="AH115" s="734" t="e">
        <f t="shared" si="30"/>
        <v>#DIV/0!</v>
      </c>
      <c r="AI115" s="754">
        <v>2355000000</v>
      </c>
      <c r="AJ115" s="735">
        <f t="shared" si="35"/>
        <v>0</v>
      </c>
      <c r="AK115" s="772">
        <f t="shared" si="31"/>
        <v>0</v>
      </c>
      <c r="AL115" s="744"/>
      <c r="AM115" s="738" t="s">
        <v>1319</v>
      </c>
      <c r="AN115" s="739" t="s">
        <v>220</v>
      </c>
      <c r="AO115" s="1265"/>
      <c r="AP115" s="741"/>
      <c r="AQ115" s="741"/>
    </row>
    <row r="116" spans="1:43" ht="68.25" customHeight="1">
      <c r="A116" s="745" t="s">
        <v>1805</v>
      </c>
      <c r="B116" s="911" t="s">
        <v>1806</v>
      </c>
      <c r="C116" s="841">
        <v>0</v>
      </c>
      <c r="D116" s="842">
        <v>0</v>
      </c>
      <c r="E116" s="714">
        <v>0</v>
      </c>
      <c r="F116" s="715">
        <v>0</v>
      </c>
      <c r="G116" s="715"/>
      <c r="H116" s="761" t="s">
        <v>1536</v>
      </c>
      <c r="I116" s="717" t="s">
        <v>1536</v>
      </c>
      <c r="J116" s="718" t="s">
        <v>1807</v>
      </c>
      <c r="K116" s="718"/>
      <c r="L116" s="719"/>
      <c r="M116" s="720"/>
      <c r="N116" s="721"/>
      <c r="O116" s="718"/>
      <c r="P116" s="718"/>
      <c r="Q116" s="718"/>
      <c r="R116" s="722"/>
      <c r="S116" s="718"/>
      <c r="T116" s="724">
        <v>1</v>
      </c>
      <c r="U116" s="725">
        <f t="shared" si="53"/>
        <v>0</v>
      </c>
      <c r="V116" s="726">
        <f t="shared" si="54"/>
        <v>0</v>
      </c>
      <c r="W116" s="743">
        <v>0.03</v>
      </c>
      <c r="X116" s="716">
        <v>0</v>
      </c>
      <c r="Y116" s="768"/>
      <c r="Z116" s="729"/>
      <c r="AA116" s="729"/>
      <c r="AB116" s="730" t="e">
        <f t="shared" si="42"/>
        <v>#DIV/0!</v>
      </c>
      <c r="AC116" s="875"/>
      <c r="AD116" s="716" t="e">
        <f t="shared" si="28"/>
        <v>#DIV/0!</v>
      </c>
      <c r="AE116" s="876">
        <f t="shared" si="29"/>
        <v>0</v>
      </c>
      <c r="AF116" s="876"/>
      <c r="AG116" s="876"/>
      <c r="AH116" s="734" t="e">
        <f t="shared" si="30"/>
        <v>#DIV/0!</v>
      </c>
      <c r="AI116" s="768">
        <v>200000000</v>
      </c>
      <c r="AJ116" s="735">
        <f t="shared" si="35"/>
        <v>0</v>
      </c>
      <c r="AK116" s="772">
        <f t="shared" si="31"/>
        <v>0</v>
      </c>
      <c r="AL116" s="744"/>
      <c r="AM116" s="738"/>
      <c r="AN116" s="739" t="s">
        <v>131</v>
      </c>
      <c r="AO116" s="1265"/>
      <c r="AP116" s="741"/>
      <c r="AQ116" s="741"/>
    </row>
    <row r="117" spans="1:43" ht="85.5" customHeight="1">
      <c r="A117" s="745" t="s">
        <v>1808</v>
      </c>
      <c r="B117" s="912" t="s">
        <v>1809</v>
      </c>
      <c r="C117" s="841">
        <v>1</v>
      </c>
      <c r="D117" s="842">
        <v>3</v>
      </c>
      <c r="E117" s="714">
        <v>1</v>
      </c>
      <c r="F117" s="715">
        <v>2</v>
      </c>
      <c r="G117" s="715"/>
      <c r="H117" s="717">
        <f t="shared" ref="H117:H120" si="56">IF((E117+G117)/C117&gt;=100%,100%,(E117+G117)/C117)</f>
        <v>1</v>
      </c>
      <c r="I117" s="717">
        <f t="shared" si="52"/>
        <v>0.66666666666666663</v>
      </c>
      <c r="J117" s="718" t="s">
        <v>1810</v>
      </c>
      <c r="K117" s="718"/>
      <c r="L117" s="719"/>
      <c r="M117" s="720"/>
      <c r="N117" s="721"/>
      <c r="O117" s="718"/>
      <c r="P117" s="718"/>
      <c r="Q117" s="718"/>
      <c r="R117" s="722"/>
      <c r="S117" s="718"/>
      <c r="T117" s="724">
        <v>10</v>
      </c>
      <c r="U117" s="725">
        <f t="shared" si="53"/>
        <v>3</v>
      </c>
      <c r="V117" s="726">
        <f t="shared" si="54"/>
        <v>0.3</v>
      </c>
      <c r="W117" s="743">
        <v>0.09</v>
      </c>
      <c r="X117" s="716">
        <v>0.1</v>
      </c>
      <c r="Y117" s="754"/>
      <c r="Z117" s="729"/>
      <c r="AA117" s="729"/>
      <c r="AB117" s="730" t="e">
        <f t="shared" si="42"/>
        <v>#DIV/0!</v>
      </c>
      <c r="AC117" s="875"/>
      <c r="AD117" s="716" t="e">
        <f t="shared" si="28"/>
        <v>#DIV/0!</v>
      </c>
      <c r="AE117" s="876">
        <f t="shared" si="29"/>
        <v>0</v>
      </c>
      <c r="AF117" s="876"/>
      <c r="AG117" s="876"/>
      <c r="AH117" s="734" t="e">
        <f t="shared" si="30"/>
        <v>#DIV/0!</v>
      </c>
      <c r="AI117" s="754">
        <v>967549953</v>
      </c>
      <c r="AJ117" s="735">
        <f t="shared" si="35"/>
        <v>0</v>
      </c>
      <c r="AK117" s="772">
        <f t="shared" si="31"/>
        <v>0</v>
      </c>
      <c r="AL117" s="744"/>
      <c r="AM117" s="738" t="s">
        <v>1319</v>
      </c>
      <c r="AN117" s="884"/>
      <c r="AO117" s="1266"/>
      <c r="AP117" s="741"/>
      <c r="AQ117" s="741"/>
    </row>
    <row r="118" spans="1:43" ht="68.25" customHeight="1">
      <c r="A118" s="745" t="s">
        <v>1811</v>
      </c>
      <c r="B118" s="911" t="s">
        <v>1812</v>
      </c>
      <c r="C118" s="885">
        <v>1</v>
      </c>
      <c r="D118" s="886">
        <v>1</v>
      </c>
      <c r="E118" s="751">
        <v>0.2</v>
      </c>
      <c r="F118" s="886">
        <v>1</v>
      </c>
      <c r="G118" s="799">
        <v>0.8</v>
      </c>
      <c r="H118" s="717">
        <f t="shared" si="56"/>
        <v>1</v>
      </c>
      <c r="I118" s="717">
        <f t="shared" si="52"/>
        <v>1</v>
      </c>
      <c r="J118" s="718" t="s">
        <v>2137</v>
      </c>
      <c r="K118" s="718"/>
      <c r="L118" s="719"/>
      <c r="M118" s="720"/>
      <c r="N118" s="721"/>
      <c r="O118" s="718"/>
      <c r="P118" s="718"/>
      <c r="Q118" s="718"/>
      <c r="R118" s="722"/>
      <c r="S118" s="718"/>
      <c r="T118" s="732">
        <v>1</v>
      </c>
      <c r="U118" s="913">
        <f>SUM(E118:G118)/4</f>
        <v>0.5</v>
      </c>
      <c r="V118" s="753">
        <f t="shared" si="54"/>
        <v>0.5</v>
      </c>
      <c r="W118" s="910">
        <v>0.05</v>
      </c>
      <c r="X118" s="716">
        <v>0.04</v>
      </c>
      <c r="Y118" s="754"/>
      <c r="Z118" s="729"/>
      <c r="AA118" s="729"/>
      <c r="AB118" s="730" t="e">
        <f t="shared" si="42"/>
        <v>#DIV/0!</v>
      </c>
      <c r="AC118" s="875"/>
      <c r="AD118" s="716" t="e">
        <f t="shared" si="28"/>
        <v>#DIV/0!</v>
      </c>
      <c r="AE118" s="876">
        <f t="shared" si="29"/>
        <v>0</v>
      </c>
      <c r="AF118" s="876"/>
      <c r="AG118" s="876"/>
      <c r="AH118" s="734" t="e">
        <f t="shared" si="30"/>
        <v>#DIV/0!</v>
      </c>
      <c r="AI118" s="754">
        <v>567549953</v>
      </c>
      <c r="AJ118" s="735">
        <f t="shared" si="35"/>
        <v>0</v>
      </c>
      <c r="AK118" s="772">
        <f t="shared" si="31"/>
        <v>0</v>
      </c>
      <c r="AL118" s="744"/>
      <c r="AM118" s="738" t="s">
        <v>1319</v>
      </c>
      <c r="AN118" s="739" t="s">
        <v>200</v>
      </c>
      <c r="AO118" s="740" t="s">
        <v>1813</v>
      </c>
      <c r="AP118" s="741"/>
      <c r="AQ118" s="741"/>
    </row>
    <row r="119" spans="1:43" ht="68.25" customHeight="1">
      <c r="A119" s="745" t="s">
        <v>1814</v>
      </c>
      <c r="B119" s="911" t="s">
        <v>1815</v>
      </c>
      <c r="C119" s="841">
        <v>25</v>
      </c>
      <c r="D119" s="842">
        <v>25</v>
      </c>
      <c r="E119" s="714">
        <v>25</v>
      </c>
      <c r="F119" s="715">
        <v>25</v>
      </c>
      <c r="G119" s="715"/>
      <c r="H119" s="717">
        <f t="shared" si="56"/>
        <v>1</v>
      </c>
      <c r="I119" s="717">
        <f t="shared" si="52"/>
        <v>1</v>
      </c>
      <c r="J119" s="718" t="s">
        <v>1816</v>
      </c>
      <c r="K119" s="718"/>
      <c r="L119" s="719"/>
      <c r="M119" s="720"/>
      <c r="N119" s="721"/>
      <c r="O119" s="718"/>
      <c r="P119" s="718"/>
      <c r="Q119" s="718"/>
      <c r="R119" s="722"/>
      <c r="S119" s="718"/>
      <c r="T119" s="724">
        <v>25</v>
      </c>
      <c r="U119" s="891">
        <f>SUM(E119:G119)/4</f>
        <v>12.5</v>
      </c>
      <c r="V119" s="753">
        <f t="shared" si="54"/>
        <v>0.5</v>
      </c>
      <c r="W119" s="910">
        <v>0.05</v>
      </c>
      <c r="X119" s="716">
        <v>0.04</v>
      </c>
      <c r="Y119" s="754"/>
      <c r="Z119" s="729"/>
      <c r="AA119" s="729"/>
      <c r="AB119" s="730" t="e">
        <f>+AA119/Y119</f>
        <v>#DIV/0!</v>
      </c>
      <c r="AC119" s="875"/>
      <c r="AD119" s="716" t="e">
        <f t="shared" si="28"/>
        <v>#DIV/0!</v>
      </c>
      <c r="AE119" s="876">
        <f t="shared" si="29"/>
        <v>0</v>
      </c>
      <c r="AF119" s="876"/>
      <c r="AG119" s="876"/>
      <c r="AH119" s="734" t="e">
        <f t="shared" si="30"/>
        <v>#DIV/0!</v>
      </c>
      <c r="AI119" s="754">
        <v>587549953</v>
      </c>
      <c r="AJ119" s="735">
        <f t="shared" si="35"/>
        <v>0</v>
      </c>
      <c r="AK119" s="772">
        <f t="shared" si="31"/>
        <v>0</v>
      </c>
      <c r="AL119" s="744"/>
      <c r="AM119" s="738" t="s">
        <v>1319</v>
      </c>
      <c r="AN119" s="739" t="s">
        <v>162</v>
      </c>
      <c r="AO119" s="1264" t="s">
        <v>1817</v>
      </c>
      <c r="AP119" s="741"/>
      <c r="AQ119" s="741"/>
    </row>
    <row r="120" spans="1:43" ht="68.25" customHeight="1">
      <c r="A120" s="745" t="s">
        <v>1818</v>
      </c>
      <c r="B120" s="912" t="s">
        <v>1819</v>
      </c>
      <c r="C120" s="841">
        <v>1</v>
      </c>
      <c r="D120" s="842">
        <v>1</v>
      </c>
      <c r="E120" s="714">
        <v>1</v>
      </c>
      <c r="F120" s="715">
        <v>1</v>
      </c>
      <c r="G120" s="715"/>
      <c r="H120" s="717">
        <f t="shared" si="56"/>
        <v>1</v>
      </c>
      <c r="I120" s="717">
        <f>IF(F120/D120&gt;=100%,100%,F120/D120)</f>
        <v>1</v>
      </c>
      <c r="J120" s="718" t="s">
        <v>1820</v>
      </c>
      <c r="K120" s="718"/>
      <c r="L120" s="719"/>
      <c r="M120" s="720"/>
      <c r="N120" s="721"/>
      <c r="O120" s="718"/>
      <c r="P120" s="718"/>
      <c r="Q120" s="718"/>
      <c r="R120" s="722"/>
      <c r="S120" s="718"/>
      <c r="T120" s="724">
        <v>4</v>
      </c>
      <c r="U120" s="725">
        <f>SUM(E120:G120)</f>
        <v>2</v>
      </c>
      <c r="V120" s="726">
        <f t="shared" si="54"/>
        <v>0.5</v>
      </c>
      <c r="W120" s="910">
        <v>0.04</v>
      </c>
      <c r="X120" s="716">
        <v>0.02</v>
      </c>
      <c r="Y120" s="754"/>
      <c r="Z120" s="729"/>
      <c r="AA120" s="729"/>
      <c r="AB120" s="730" t="e">
        <f t="shared" si="42"/>
        <v>#DIV/0!</v>
      </c>
      <c r="AC120" s="875"/>
      <c r="AD120" s="716" t="e">
        <f t="shared" si="28"/>
        <v>#DIV/0!</v>
      </c>
      <c r="AE120" s="876">
        <f t="shared" si="29"/>
        <v>0</v>
      </c>
      <c r="AF120" s="876"/>
      <c r="AG120" s="876"/>
      <c r="AH120" s="734" t="e">
        <f t="shared" si="30"/>
        <v>#DIV/0!</v>
      </c>
      <c r="AI120" s="754">
        <v>917549953</v>
      </c>
      <c r="AJ120" s="735">
        <f t="shared" si="35"/>
        <v>0</v>
      </c>
      <c r="AK120" s="772">
        <f t="shared" si="31"/>
        <v>0</v>
      </c>
      <c r="AL120" s="744"/>
      <c r="AM120" s="738" t="s">
        <v>1319</v>
      </c>
      <c r="AN120" s="884"/>
      <c r="AO120" s="1265"/>
      <c r="AP120" s="741"/>
      <c r="AQ120" s="741"/>
    </row>
    <row r="121" spans="1:43" ht="68.25" customHeight="1">
      <c r="A121" s="745" t="s">
        <v>1821</v>
      </c>
      <c r="B121" s="912" t="s">
        <v>1822</v>
      </c>
      <c r="C121" s="841">
        <v>0</v>
      </c>
      <c r="D121" s="842">
        <v>0.3</v>
      </c>
      <c r="E121" s="714">
        <v>0</v>
      </c>
      <c r="F121" s="914">
        <v>0.3</v>
      </c>
      <c r="G121" s="715"/>
      <c r="H121" s="761" t="s">
        <v>1536</v>
      </c>
      <c r="I121" s="717">
        <f>IF(F121/D121&gt;=100%,100%,F121/D121)</f>
        <v>1</v>
      </c>
      <c r="J121" s="718" t="s">
        <v>1823</v>
      </c>
      <c r="K121" s="718"/>
      <c r="L121" s="719"/>
      <c r="M121" s="720"/>
      <c r="N121" s="721"/>
      <c r="O121" s="718"/>
      <c r="P121" s="718"/>
      <c r="Q121" s="718"/>
      <c r="R121" s="722"/>
      <c r="S121" s="718"/>
      <c r="T121" s="724">
        <v>2</v>
      </c>
      <c r="U121" s="915">
        <f t="shared" ref="U121" si="57">SUM(E121:G121)</f>
        <v>0.3</v>
      </c>
      <c r="V121" s="726">
        <f t="shared" si="54"/>
        <v>0.15</v>
      </c>
      <c r="W121" s="910">
        <v>7.0000000000000007E-2</v>
      </c>
      <c r="X121" s="716">
        <v>0.15</v>
      </c>
      <c r="Y121" s="754"/>
      <c r="Z121" s="729"/>
      <c r="AA121" s="729"/>
      <c r="AB121" s="730" t="e">
        <f t="shared" si="42"/>
        <v>#DIV/0!</v>
      </c>
      <c r="AC121" s="875"/>
      <c r="AD121" s="716" t="e">
        <f t="shared" si="28"/>
        <v>#DIV/0!</v>
      </c>
      <c r="AE121" s="876">
        <f t="shared" si="29"/>
        <v>0</v>
      </c>
      <c r="AF121" s="876"/>
      <c r="AG121" s="876"/>
      <c r="AH121" s="734" t="e">
        <f t="shared" si="30"/>
        <v>#DIV/0!</v>
      </c>
      <c r="AI121" s="754">
        <v>972549953</v>
      </c>
      <c r="AJ121" s="735">
        <f t="shared" si="35"/>
        <v>0</v>
      </c>
      <c r="AK121" s="772">
        <f t="shared" si="31"/>
        <v>0</v>
      </c>
      <c r="AL121" s="744"/>
      <c r="AM121" s="738" t="s">
        <v>1319</v>
      </c>
      <c r="AN121" s="884"/>
      <c r="AO121" s="1266"/>
      <c r="AP121" s="741"/>
      <c r="AQ121" s="741"/>
    </row>
    <row r="122" spans="1:43" ht="68.25" customHeight="1">
      <c r="A122" s="745" t="s">
        <v>1824</v>
      </c>
      <c r="B122" s="912" t="s">
        <v>1825</v>
      </c>
      <c r="C122" s="885">
        <v>0.1</v>
      </c>
      <c r="D122" s="886">
        <v>0.3</v>
      </c>
      <c r="E122" s="751">
        <v>0.01</v>
      </c>
      <c r="F122" s="732">
        <v>0.3</v>
      </c>
      <c r="G122" s="751">
        <v>0.09</v>
      </c>
      <c r="H122" s="801">
        <f>IF((E122+G122)/C122&gt;=100%,100%,(E122+G122)/C122)</f>
        <v>1</v>
      </c>
      <c r="I122" s="717">
        <f>IF(F122/D122&gt;=100%,100%,F122/D122)</f>
        <v>1</v>
      </c>
      <c r="J122" s="718" t="s">
        <v>1826</v>
      </c>
      <c r="K122" s="718"/>
      <c r="L122" s="719"/>
      <c r="M122" s="720"/>
      <c r="N122" s="721"/>
      <c r="O122" s="718"/>
      <c r="P122" s="718"/>
      <c r="Q122" s="718"/>
      <c r="R122" s="722"/>
      <c r="S122" s="718"/>
      <c r="T122" s="732">
        <v>1</v>
      </c>
      <c r="U122" s="752">
        <f>+F122</f>
        <v>0.3</v>
      </c>
      <c r="V122" s="753">
        <f t="shared" si="54"/>
        <v>0.3</v>
      </c>
      <c r="W122" s="743">
        <v>0.11</v>
      </c>
      <c r="X122" s="716">
        <v>0.1</v>
      </c>
      <c r="Y122" s="754"/>
      <c r="Z122" s="729"/>
      <c r="AA122" s="729"/>
      <c r="AB122" s="730" t="e">
        <f t="shared" si="42"/>
        <v>#DIV/0!</v>
      </c>
      <c r="AC122" s="875"/>
      <c r="AD122" s="716" t="e">
        <f t="shared" si="28"/>
        <v>#DIV/0!</v>
      </c>
      <c r="AE122" s="876">
        <f t="shared" si="29"/>
        <v>0</v>
      </c>
      <c r="AF122" s="876"/>
      <c r="AG122" s="876"/>
      <c r="AH122" s="734" t="e">
        <f t="shared" si="30"/>
        <v>#DIV/0!</v>
      </c>
      <c r="AI122" s="754">
        <v>490203656</v>
      </c>
      <c r="AJ122" s="735">
        <f t="shared" si="35"/>
        <v>0</v>
      </c>
      <c r="AK122" s="772">
        <f t="shared" si="31"/>
        <v>0</v>
      </c>
      <c r="AL122" s="744"/>
      <c r="AM122" s="738" t="s">
        <v>1319</v>
      </c>
      <c r="AN122" s="884"/>
      <c r="AO122" s="740" t="s">
        <v>1591</v>
      </c>
      <c r="AP122" s="741"/>
      <c r="AQ122" s="741"/>
    </row>
    <row r="123" spans="1:43" ht="68.25" customHeight="1" thickBot="1">
      <c r="A123" s="745" t="s">
        <v>1827</v>
      </c>
      <c r="B123" s="912" t="s">
        <v>1828</v>
      </c>
      <c r="C123" s="841">
        <v>1</v>
      </c>
      <c r="D123" s="842">
        <v>1</v>
      </c>
      <c r="E123" s="916">
        <v>0.3</v>
      </c>
      <c r="F123" s="715">
        <v>1</v>
      </c>
      <c r="G123" s="917">
        <v>0.7</v>
      </c>
      <c r="H123" s="801">
        <f>IF((E123+G123)/C123&gt;=100%,100%,(E123+G123)/C123)</f>
        <v>1</v>
      </c>
      <c r="I123" s="717">
        <f>IF(F123/D123&gt;=100%,100%,F123/D123)</f>
        <v>1</v>
      </c>
      <c r="J123" s="718" t="s">
        <v>1829</v>
      </c>
      <c r="K123" s="718"/>
      <c r="L123" s="719"/>
      <c r="M123" s="720"/>
      <c r="N123" s="721"/>
      <c r="O123" s="718"/>
      <c r="P123" s="718"/>
      <c r="Q123" s="718"/>
      <c r="R123" s="722"/>
      <c r="S123" s="718"/>
      <c r="T123" s="724">
        <v>1</v>
      </c>
      <c r="U123" s="891">
        <f>SUM(E123:G123)/4</f>
        <v>0.5</v>
      </c>
      <c r="V123" s="753">
        <f t="shared" si="54"/>
        <v>0.5</v>
      </c>
      <c r="W123" s="910">
        <v>7.0000000000000007E-2</v>
      </c>
      <c r="X123" s="716">
        <v>0.05</v>
      </c>
      <c r="Y123" s="754"/>
      <c r="Z123" s="729"/>
      <c r="AA123" s="729"/>
      <c r="AB123" s="730" t="e">
        <f t="shared" si="42"/>
        <v>#DIV/0!</v>
      </c>
      <c r="AC123" s="875"/>
      <c r="AD123" s="716" t="e">
        <f t="shared" si="28"/>
        <v>#DIV/0!</v>
      </c>
      <c r="AE123" s="876">
        <f t="shared" si="29"/>
        <v>0</v>
      </c>
      <c r="AF123" s="876"/>
      <c r="AG123" s="876"/>
      <c r="AH123" s="734" t="e">
        <f t="shared" si="30"/>
        <v>#DIV/0!</v>
      </c>
      <c r="AI123" s="754">
        <v>592549953</v>
      </c>
      <c r="AJ123" s="735">
        <f t="shared" si="35"/>
        <v>0</v>
      </c>
      <c r="AK123" s="772">
        <f t="shared" si="31"/>
        <v>0</v>
      </c>
      <c r="AL123" s="744"/>
      <c r="AM123" s="738" t="s">
        <v>1319</v>
      </c>
      <c r="AN123" s="884"/>
      <c r="AO123" s="740" t="s">
        <v>1591</v>
      </c>
      <c r="AP123" s="741"/>
      <c r="AQ123" s="741"/>
    </row>
    <row r="124" spans="1:43" s="709" customFormat="1" ht="51.75" customHeight="1">
      <c r="A124" s="640" t="s">
        <v>1830</v>
      </c>
      <c r="B124" s="641"/>
      <c r="C124" s="642"/>
      <c r="D124" s="810"/>
      <c r="E124" s="642"/>
      <c r="F124" s="644"/>
      <c r="G124" s="644"/>
      <c r="H124" s="645">
        <f>+(H125*W125)</f>
        <v>0.85</v>
      </c>
      <c r="I124" s="645">
        <f>+(I125*X125)</f>
        <v>1</v>
      </c>
      <c r="J124" s="645">
        <f>+(J125*Y125)</f>
        <v>0</v>
      </c>
      <c r="K124" s="645">
        <f t="shared" ref="K124:R124" si="58">+(K125*AA125)</f>
        <v>0</v>
      </c>
      <c r="L124" s="645">
        <f t="shared" si="58"/>
        <v>0</v>
      </c>
      <c r="M124" s="645">
        <f t="shared" si="58"/>
        <v>0</v>
      </c>
      <c r="N124" s="645">
        <f t="shared" si="58"/>
        <v>0</v>
      </c>
      <c r="O124" s="645">
        <f t="shared" si="58"/>
        <v>0</v>
      </c>
      <c r="P124" s="645">
        <f t="shared" si="58"/>
        <v>0</v>
      </c>
      <c r="Q124" s="645">
        <f t="shared" si="58"/>
        <v>0</v>
      </c>
      <c r="R124" s="645" t="e">
        <f t="shared" si="58"/>
        <v>#DIV/0!</v>
      </c>
      <c r="S124" s="645"/>
      <c r="T124" s="645"/>
      <c r="U124" s="645"/>
      <c r="V124" s="814">
        <f>+(V125*W125)</f>
        <v>0.5482499999999999</v>
      </c>
      <c r="W124" s="815">
        <v>0.1</v>
      </c>
      <c r="X124" s="818">
        <v>0.1</v>
      </c>
      <c r="Y124" s="656">
        <f>+Y125</f>
        <v>200000000</v>
      </c>
      <c r="Z124" s="656">
        <f>+Z125</f>
        <v>91812000</v>
      </c>
      <c r="AA124" s="656">
        <f>+AA125</f>
        <v>167908010</v>
      </c>
      <c r="AB124" s="817">
        <f t="shared" si="42"/>
        <v>0.83954004999999998</v>
      </c>
      <c r="AC124" s="656">
        <f>+AC125</f>
        <v>167908010</v>
      </c>
      <c r="AD124" s="815">
        <f t="shared" si="28"/>
        <v>0.83954004999999998</v>
      </c>
      <c r="AE124" s="918">
        <f t="shared" si="29"/>
        <v>0</v>
      </c>
      <c r="AF124" s="656">
        <f>+AF125</f>
        <v>0</v>
      </c>
      <c r="AG124" s="656">
        <f>+AG125</f>
        <v>0</v>
      </c>
      <c r="AH124" s="660" t="e">
        <f t="shared" si="30"/>
        <v>#DIV/0!</v>
      </c>
      <c r="AI124" s="656">
        <f>+AI125</f>
        <v>700000000</v>
      </c>
      <c r="AJ124" s="656">
        <f>+AJ125</f>
        <v>259720010</v>
      </c>
      <c r="AK124" s="815">
        <f t="shared" si="31"/>
        <v>0.37102858571428571</v>
      </c>
      <c r="AL124" s="811"/>
      <c r="AM124" s="821"/>
      <c r="AN124" s="822"/>
      <c r="AO124" s="823"/>
      <c r="AP124" s="824"/>
      <c r="AQ124" s="824"/>
    </row>
    <row r="125" spans="1:43" s="709" customFormat="1" ht="51.75" customHeight="1">
      <c r="A125" s="666" t="s">
        <v>1831</v>
      </c>
      <c r="B125" s="783"/>
      <c r="C125" s="784"/>
      <c r="D125" s="785"/>
      <c r="E125" s="784"/>
      <c r="F125" s="786"/>
      <c r="G125" s="786"/>
      <c r="H125" s="671">
        <f>+(H126*W126)+(H131*W131)+(H136*W136)</f>
        <v>0.85</v>
      </c>
      <c r="I125" s="671">
        <f>+(I126*X126)+(I131*X131)+(I136*X136)</f>
        <v>1</v>
      </c>
      <c r="J125" s="787"/>
      <c r="K125" s="787"/>
      <c r="L125" s="787"/>
      <c r="M125" s="783"/>
      <c r="N125" s="783"/>
      <c r="O125" s="787"/>
      <c r="P125" s="787"/>
      <c r="Q125" s="787"/>
      <c r="R125" s="789"/>
      <c r="S125" s="787"/>
      <c r="T125" s="791"/>
      <c r="U125" s="792"/>
      <c r="V125" s="671">
        <f>+(V126*W126)+(V131*W131)+(V136*W136)</f>
        <v>0.5482499999999999</v>
      </c>
      <c r="W125" s="671">
        <v>1</v>
      </c>
      <c r="X125" s="671">
        <v>1</v>
      </c>
      <c r="Y125" s="678">
        <f>+Y126+Y131+Y136</f>
        <v>200000000</v>
      </c>
      <c r="Z125" s="678">
        <f>+Z126+Z131+Z136</f>
        <v>91812000</v>
      </c>
      <c r="AA125" s="678">
        <f>+AA126+AA131+AA136</f>
        <v>167908010</v>
      </c>
      <c r="AB125" s="679">
        <f t="shared" si="42"/>
        <v>0.83954004999999998</v>
      </c>
      <c r="AC125" s="678">
        <f>+AC126+AC131+AC136</f>
        <v>167908010</v>
      </c>
      <c r="AD125" s="671">
        <f t="shared" si="28"/>
        <v>0.83954004999999998</v>
      </c>
      <c r="AE125" s="893">
        <f t="shared" si="29"/>
        <v>0</v>
      </c>
      <c r="AF125" s="678">
        <f>+AF126+AF131+AF136</f>
        <v>0</v>
      </c>
      <c r="AG125" s="678">
        <f>+AG126+AG131+AG136</f>
        <v>0</v>
      </c>
      <c r="AH125" s="793" t="e">
        <f t="shared" si="30"/>
        <v>#DIV/0!</v>
      </c>
      <c r="AI125" s="678">
        <f>+AI126+AI131+AI136</f>
        <v>700000000</v>
      </c>
      <c r="AJ125" s="678">
        <f>+AJ126+AJ131+AJ136</f>
        <v>259720010</v>
      </c>
      <c r="AK125" s="671">
        <f t="shared" si="31"/>
        <v>0.37102858571428571</v>
      </c>
      <c r="AL125" s="787"/>
      <c r="AM125" s="683" t="s">
        <v>1321</v>
      </c>
      <c r="AN125" s="684"/>
      <c r="AO125" s="685"/>
      <c r="AP125" s="833"/>
      <c r="AQ125" s="833"/>
    </row>
    <row r="126" spans="1:43" s="709" customFormat="1" ht="51.75" customHeight="1">
      <c r="A126" s="687" t="s">
        <v>1832</v>
      </c>
      <c r="B126" s="688"/>
      <c r="C126" s="689"/>
      <c r="D126" s="690"/>
      <c r="E126" s="689"/>
      <c r="F126" s="691"/>
      <c r="G126" s="691"/>
      <c r="H126" s="693">
        <f>+(H127*70%)+(H129*10%)+(H130*20%)</f>
        <v>1</v>
      </c>
      <c r="I126" s="693">
        <f>+SUMPRODUCT(I127:I130,X127:X130)</f>
        <v>1</v>
      </c>
      <c r="J126" s="694"/>
      <c r="K126" s="694"/>
      <c r="L126" s="694"/>
      <c r="M126" s="688"/>
      <c r="N126" s="688"/>
      <c r="O126" s="694"/>
      <c r="P126" s="694"/>
      <c r="Q126" s="694"/>
      <c r="R126" s="770"/>
      <c r="S126" s="694"/>
      <c r="T126" s="696"/>
      <c r="U126" s="697"/>
      <c r="V126" s="676">
        <f>+SUMPRODUCT(V127:V130,W127:W130)</f>
        <v>0.67500000000000004</v>
      </c>
      <c r="W126" s="693">
        <v>0.43</v>
      </c>
      <c r="X126" s="693">
        <v>0.4</v>
      </c>
      <c r="Y126" s="699">
        <v>100000000</v>
      </c>
      <c r="Z126" s="699">
        <v>84725500</v>
      </c>
      <c r="AA126" s="699">
        <v>67908010</v>
      </c>
      <c r="AB126" s="700">
        <f t="shared" si="42"/>
        <v>0.67908009999999996</v>
      </c>
      <c r="AC126" s="699">
        <v>67908010</v>
      </c>
      <c r="AD126" s="693">
        <f t="shared" si="28"/>
        <v>0.67908009999999996</v>
      </c>
      <c r="AE126" s="870">
        <f t="shared" si="29"/>
        <v>0</v>
      </c>
      <c r="AF126" s="870"/>
      <c r="AG126" s="870"/>
      <c r="AH126" s="703" t="e">
        <f t="shared" si="30"/>
        <v>#DIV/0!</v>
      </c>
      <c r="AI126" s="699">
        <f>SUM(AI127:AI130)</f>
        <v>300000000</v>
      </c>
      <c r="AJ126" s="699">
        <f>+SUM(Z126:AA126)</f>
        <v>152633510</v>
      </c>
      <c r="AK126" s="693">
        <f t="shared" si="31"/>
        <v>0.50877836666666665</v>
      </c>
      <c r="AL126" s="694"/>
      <c r="AM126" s="705" t="s">
        <v>1321</v>
      </c>
      <c r="AN126" s="706"/>
      <c r="AO126" s="707"/>
      <c r="AP126" s="708"/>
      <c r="AQ126" s="708"/>
    </row>
    <row r="127" spans="1:43" ht="83.25" customHeight="1">
      <c r="A127" s="710" t="s">
        <v>1833</v>
      </c>
      <c r="B127" s="919" t="s">
        <v>1834</v>
      </c>
      <c r="C127" s="920">
        <v>0.5</v>
      </c>
      <c r="D127" s="921">
        <v>1</v>
      </c>
      <c r="E127" s="751">
        <v>0.9</v>
      </c>
      <c r="F127" s="732">
        <v>1</v>
      </c>
      <c r="G127" s="715"/>
      <c r="H127" s="717">
        <f t="shared" ref="H127" si="59">IF((E127+G127)/C127&gt;=100%,100%,(E127+G127)/C127)</f>
        <v>1</v>
      </c>
      <c r="I127" s="717">
        <f>IF(F127/D127&gt;=100%,100%,F127/D127)</f>
        <v>1</v>
      </c>
      <c r="J127" s="718" t="s">
        <v>1835</v>
      </c>
      <c r="K127" s="718"/>
      <c r="L127" s="719"/>
      <c r="M127" s="720"/>
      <c r="N127" s="721"/>
      <c r="O127" s="718"/>
      <c r="P127" s="718"/>
      <c r="Q127" s="718"/>
      <c r="R127" s="722"/>
      <c r="S127" s="718"/>
      <c r="T127" s="921">
        <v>1</v>
      </c>
      <c r="U127" s="752">
        <f>+F127</f>
        <v>1</v>
      </c>
      <c r="V127" s="922">
        <f>IF(U127/T127&gt;=100%,100%,U127/T127)</f>
        <v>1</v>
      </c>
      <c r="W127" s="743">
        <v>0.3</v>
      </c>
      <c r="X127" s="716">
        <v>0.5</v>
      </c>
      <c r="Y127" s="754"/>
      <c r="Z127" s="729"/>
      <c r="AA127" s="729"/>
      <c r="AB127" s="730" t="e">
        <f t="shared" si="42"/>
        <v>#DIV/0!</v>
      </c>
      <c r="AC127" s="875"/>
      <c r="AD127" s="716" t="e">
        <f t="shared" si="28"/>
        <v>#DIV/0!</v>
      </c>
      <c r="AE127" s="876">
        <f t="shared" si="29"/>
        <v>0</v>
      </c>
      <c r="AF127" s="876"/>
      <c r="AG127" s="876"/>
      <c r="AH127" s="734" t="e">
        <f t="shared" si="30"/>
        <v>#DIV/0!</v>
      </c>
      <c r="AI127" s="754">
        <v>55000000</v>
      </c>
      <c r="AJ127" s="735">
        <f t="shared" si="35"/>
        <v>0</v>
      </c>
      <c r="AK127" s="772">
        <f t="shared" si="31"/>
        <v>0</v>
      </c>
      <c r="AL127" s="744"/>
      <c r="AM127" s="738" t="s">
        <v>1321</v>
      </c>
      <c r="AN127" s="739" t="s">
        <v>964</v>
      </c>
      <c r="AO127" s="740" t="s">
        <v>1591</v>
      </c>
      <c r="AP127" s="741"/>
      <c r="AQ127" s="741"/>
    </row>
    <row r="128" spans="1:43" ht="130.5" customHeight="1">
      <c r="A128" s="840" t="s">
        <v>1836</v>
      </c>
      <c r="B128" s="923" t="s">
        <v>1837</v>
      </c>
      <c r="C128" s="920">
        <v>0</v>
      </c>
      <c r="D128" s="921">
        <v>1</v>
      </c>
      <c r="E128" s="751">
        <v>0</v>
      </c>
      <c r="F128" s="732">
        <v>1</v>
      </c>
      <c r="G128" s="715"/>
      <c r="H128" s="717" t="s">
        <v>1536</v>
      </c>
      <c r="I128" s="717">
        <f>IF(F128/D128&gt;=100%,100%,F128/D128)</f>
        <v>1</v>
      </c>
      <c r="J128" s="718" t="s">
        <v>1838</v>
      </c>
      <c r="K128" s="718"/>
      <c r="L128" s="719"/>
      <c r="M128" s="720"/>
      <c r="N128" s="721"/>
      <c r="O128" s="718"/>
      <c r="P128" s="718"/>
      <c r="Q128" s="718"/>
      <c r="R128" s="722"/>
      <c r="S128" s="718"/>
      <c r="T128" s="921">
        <v>1</v>
      </c>
      <c r="U128" s="752">
        <f>SUM(E128:G128)</f>
        <v>1</v>
      </c>
      <c r="V128" s="922">
        <f>IF(U128/T128&gt;=100%,100%,U128/T128)</f>
        <v>1</v>
      </c>
      <c r="W128" s="743">
        <v>0.05</v>
      </c>
      <c r="X128" s="716">
        <v>0.2</v>
      </c>
      <c r="Y128" s="754"/>
      <c r="Z128" s="729"/>
      <c r="AA128" s="729"/>
      <c r="AB128" s="730" t="e">
        <f t="shared" si="42"/>
        <v>#DIV/0!</v>
      </c>
      <c r="AC128" s="875"/>
      <c r="AD128" s="716" t="e">
        <f t="shared" si="28"/>
        <v>#DIV/0!</v>
      </c>
      <c r="AE128" s="876">
        <f t="shared" si="29"/>
        <v>0</v>
      </c>
      <c r="AF128" s="876"/>
      <c r="AG128" s="876"/>
      <c r="AH128" s="734" t="e">
        <f t="shared" si="30"/>
        <v>#DIV/0!</v>
      </c>
      <c r="AI128" s="754">
        <v>15000000</v>
      </c>
      <c r="AJ128" s="735">
        <f t="shared" si="35"/>
        <v>0</v>
      </c>
      <c r="AK128" s="772">
        <f t="shared" si="31"/>
        <v>0</v>
      </c>
      <c r="AL128" s="744"/>
      <c r="AM128" s="738" t="s">
        <v>1321</v>
      </c>
      <c r="AN128" s="739" t="s">
        <v>964</v>
      </c>
      <c r="AO128" s="740" t="s">
        <v>1591</v>
      </c>
      <c r="AP128" s="741"/>
      <c r="AQ128" s="741"/>
    </row>
    <row r="129" spans="1:43" ht="51" customHeight="1">
      <c r="A129" s="840" t="s">
        <v>1839</v>
      </c>
      <c r="B129" s="912" t="s">
        <v>1840</v>
      </c>
      <c r="C129" s="920">
        <v>1</v>
      </c>
      <c r="D129" s="921">
        <v>1</v>
      </c>
      <c r="E129" s="751">
        <v>1</v>
      </c>
      <c r="F129" s="732">
        <v>1</v>
      </c>
      <c r="G129" s="715"/>
      <c r="H129" s="717">
        <f t="shared" ref="H129:H130" si="60">IF((E129+G129)/C129&gt;=100%,100%,(E129+G129)/C129)</f>
        <v>1</v>
      </c>
      <c r="I129" s="717">
        <f>IF(F129/D129&gt;=100%,100%,F129/D129)</f>
        <v>1</v>
      </c>
      <c r="J129" s="718" t="s">
        <v>1841</v>
      </c>
      <c r="K129" s="718"/>
      <c r="L129" s="719"/>
      <c r="M129" s="720"/>
      <c r="N129" s="721"/>
      <c r="O129" s="718"/>
      <c r="P129" s="718"/>
      <c r="Q129" s="718"/>
      <c r="R129" s="722"/>
      <c r="S129" s="718"/>
      <c r="T129" s="921">
        <v>1</v>
      </c>
      <c r="U129" s="913">
        <f t="shared" ref="U129:U130" si="61">SUM(E129:G129)/4</f>
        <v>0.5</v>
      </c>
      <c r="V129" s="924">
        <f>IF(U129/T129&gt;=100%,100%,U129/T129)</f>
        <v>0.5</v>
      </c>
      <c r="W129" s="743">
        <v>0.3</v>
      </c>
      <c r="X129" s="716">
        <v>0.1</v>
      </c>
      <c r="Y129" s="754"/>
      <c r="Z129" s="729"/>
      <c r="AA129" s="729"/>
      <c r="AB129" s="730" t="e">
        <f t="shared" si="42"/>
        <v>#DIV/0!</v>
      </c>
      <c r="AC129" s="875"/>
      <c r="AD129" s="716" t="e">
        <f t="shared" si="28"/>
        <v>#DIV/0!</v>
      </c>
      <c r="AE129" s="876">
        <f t="shared" si="29"/>
        <v>0</v>
      </c>
      <c r="AF129" s="876"/>
      <c r="AG129" s="876"/>
      <c r="AH129" s="734" t="e">
        <f t="shared" si="30"/>
        <v>#DIV/0!</v>
      </c>
      <c r="AI129" s="754">
        <v>110000000</v>
      </c>
      <c r="AJ129" s="735">
        <f t="shared" si="35"/>
        <v>0</v>
      </c>
      <c r="AK129" s="772">
        <f t="shared" si="31"/>
        <v>0</v>
      </c>
      <c r="AL129" s="744"/>
      <c r="AM129" s="738" t="s">
        <v>1321</v>
      </c>
      <c r="AN129" s="884"/>
      <c r="AO129" s="1264" t="s">
        <v>1591</v>
      </c>
      <c r="AP129" s="741"/>
      <c r="AQ129" s="741"/>
    </row>
    <row r="130" spans="1:43" ht="63.75">
      <c r="A130" s="710" t="s">
        <v>1842</v>
      </c>
      <c r="B130" s="912" t="s">
        <v>1843</v>
      </c>
      <c r="C130" s="920">
        <v>1</v>
      </c>
      <c r="D130" s="921">
        <v>1</v>
      </c>
      <c r="E130" s="751">
        <v>1</v>
      </c>
      <c r="F130" s="732">
        <v>1</v>
      </c>
      <c r="G130" s="715"/>
      <c r="H130" s="717">
        <f t="shared" si="60"/>
        <v>1</v>
      </c>
      <c r="I130" s="717">
        <f>IF(F130/D130&gt;=100%,100%,F130/D130)</f>
        <v>1</v>
      </c>
      <c r="J130" s="718" t="s">
        <v>1844</v>
      </c>
      <c r="K130" s="718"/>
      <c r="L130" s="719"/>
      <c r="M130" s="720"/>
      <c r="N130" s="721"/>
      <c r="O130" s="718"/>
      <c r="P130" s="718"/>
      <c r="Q130" s="718"/>
      <c r="R130" s="722"/>
      <c r="S130" s="718"/>
      <c r="T130" s="921">
        <v>1</v>
      </c>
      <c r="U130" s="913">
        <f t="shared" si="61"/>
        <v>0.5</v>
      </c>
      <c r="V130" s="924">
        <f>IF(U130/T130&gt;=100%,100%,U130/T130)</f>
        <v>0.5</v>
      </c>
      <c r="W130" s="743">
        <v>0.35</v>
      </c>
      <c r="X130" s="716">
        <v>0.2</v>
      </c>
      <c r="Y130" s="754"/>
      <c r="AB130" s="730" t="e">
        <f t="shared" si="42"/>
        <v>#DIV/0!</v>
      </c>
      <c r="AD130" s="925" t="e">
        <f t="shared" si="28"/>
        <v>#DIV/0!</v>
      </c>
      <c r="AE130" s="624">
        <f t="shared" si="29"/>
        <v>0</v>
      </c>
      <c r="AH130" s="926" t="e">
        <f t="shared" si="30"/>
        <v>#DIV/0!</v>
      </c>
      <c r="AI130" s="754">
        <v>120000000</v>
      </c>
      <c r="AJ130" s="735">
        <f t="shared" si="35"/>
        <v>0</v>
      </c>
      <c r="AK130" s="772">
        <f>+AJ130/AI130</f>
        <v>0</v>
      </c>
      <c r="AL130" s="744"/>
      <c r="AM130" s="738" t="s">
        <v>1321</v>
      </c>
      <c r="AN130" s="884"/>
      <c r="AO130" s="1266"/>
      <c r="AP130" s="741"/>
      <c r="AQ130" s="741"/>
    </row>
    <row r="131" spans="1:43" s="709" customFormat="1" ht="80.25" customHeight="1">
      <c r="A131" s="687" t="s">
        <v>1845</v>
      </c>
      <c r="B131" s="688"/>
      <c r="C131" s="689"/>
      <c r="D131" s="690"/>
      <c r="E131" s="689"/>
      <c r="F131" s="691"/>
      <c r="G131" s="691"/>
      <c r="H131" s="693">
        <f>+(H132*50%)+(H133*10%)+(H134*20%)+(H135*20%)</f>
        <v>1</v>
      </c>
      <c r="I131" s="693">
        <f>+SUMPRODUCT(I132:I135,X132:X135)</f>
        <v>1</v>
      </c>
      <c r="J131" s="834"/>
      <c r="K131" s="834"/>
      <c r="L131" s="694"/>
      <c r="M131" s="688"/>
      <c r="N131" s="688"/>
      <c r="O131" s="834"/>
      <c r="P131" s="834"/>
      <c r="Q131" s="834"/>
      <c r="R131" s="770"/>
      <c r="S131" s="834"/>
      <c r="T131" s="835"/>
      <c r="U131" s="697"/>
      <c r="V131" s="676">
        <f>+SUMPRODUCT(V132:V135,W132:W135)</f>
        <v>0.52499999999999991</v>
      </c>
      <c r="W131" s="693">
        <v>0.42</v>
      </c>
      <c r="X131" s="693">
        <v>0.4</v>
      </c>
      <c r="Y131" s="699">
        <v>50000000</v>
      </c>
      <c r="Z131" s="699">
        <v>7086500</v>
      </c>
      <c r="AA131" s="699">
        <v>50000000</v>
      </c>
      <c r="AB131" s="700">
        <f>+AA131/Y131</f>
        <v>1</v>
      </c>
      <c r="AC131" s="699">
        <v>50000000</v>
      </c>
      <c r="AD131" s="838">
        <f t="shared" si="28"/>
        <v>1</v>
      </c>
      <c r="AE131" s="927">
        <f t="shared" si="29"/>
        <v>0</v>
      </c>
      <c r="AF131" s="927"/>
      <c r="AG131" s="927"/>
      <c r="AH131" s="703" t="e">
        <f t="shared" si="30"/>
        <v>#DIV/0!</v>
      </c>
      <c r="AI131" s="699">
        <f>SUM(AI132:AI135)</f>
        <v>250000000</v>
      </c>
      <c r="AJ131" s="699">
        <f>+SUM(Z131:AA131)</f>
        <v>57086500</v>
      </c>
      <c r="AK131" s="838">
        <f t="shared" si="31"/>
        <v>0.22834599999999999</v>
      </c>
      <c r="AL131" s="834"/>
      <c r="AM131" s="705" t="s">
        <v>1321</v>
      </c>
      <c r="AN131" s="706"/>
      <c r="AO131" s="707"/>
      <c r="AP131" s="708"/>
      <c r="AQ131" s="708"/>
    </row>
    <row r="132" spans="1:43" ht="139.5" customHeight="1">
      <c r="A132" s="710" t="s">
        <v>1846</v>
      </c>
      <c r="B132" s="928" t="s">
        <v>1847</v>
      </c>
      <c r="C132" s="929">
        <v>25</v>
      </c>
      <c r="D132" s="930">
        <v>25</v>
      </c>
      <c r="E132" s="714">
        <v>25</v>
      </c>
      <c r="F132" s="715">
        <v>25</v>
      </c>
      <c r="G132" s="715"/>
      <c r="H132" s="717">
        <f t="shared" ref="H132:H135" si="62">IF((E132+G132)/C132&gt;=100%,100%,(E132+G132)/C132)</f>
        <v>1</v>
      </c>
      <c r="I132" s="931">
        <f>IF(F132/D132&gt;=100%,100%,F132/D132)</f>
        <v>1</v>
      </c>
      <c r="J132" s="739" t="s">
        <v>1848</v>
      </c>
      <c r="K132" s="739"/>
      <c r="L132" s="932"/>
      <c r="M132" s="720"/>
      <c r="N132" s="721"/>
      <c r="O132" s="843"/>
      <c r="P132" s="843"/>
      <c r="Q132" s="843"/>
      <c r="R132" s="722"/>
      <c r="S132" s="843"/>
      <c r="T132" s="844">
        <v>25</v>
      </c>
      <c r="U132" s="891">
        <f>SUM(E132:G132)/4</f>
        <v>12.5</v>
      </c>
      <c r="V132" s="924">
        <f>IF(U132/T132&gt;=100%,100%,U132/T132)</f>
        <v>0.5</v>
      </c>
      <c r="W132" s="743">
        <v>0.5</v>
      </c>
      <c r="X132" s="716">
        <v>0.5</v>
      </c>
      <c r="Y132" s="754"/>
      <c r="Z132" s="933"/>
      <c r="AA132" s="933"/>
      <c r="AB132" s="730" t="e">
        <f>+AA132/Y132</f>
        <v>#DIV/0!</v>
      </c>
      <c r="AC132" s="934"/>
      <c r="AD132" s="935" t="e">
        <f t="shared" si="28"/>
        <v>#DIV/0!</v>
      </c>
      <c r="AE132" s="936">
        <f t="shared" si="29"/>
        <v>0</v>
      </c>
      <c r="AF132" s="936"/>
      <c r="AG132" s="936"/>
      <c r="AH132" s="734" t="e">
        <f t="shared" si="30"/>
        <v>#DIV/0!</v>
      </c>
      <c r="AI132" s="754">
        <v>87500000</v>
      </c>
      <c r="AJ132" s="849">
        <f t="shared" si="35"/>
        <v>0</v>
      </c>
      <c r="AK132" s="850">
        <f t="shared" si="31"/>
        <v>0</v>
      </c>
      <c r="AL132" s="845"/>
      <c r="AM132" s="738" t="s">
        <v>1321</v>
      </c>
      <c r="AN132" s="739" t="s">
        <v>280</v>
      </c>
      <c r="AO132" s="1264" t="s">
        <v>1591</v>
      </c>
      <c r="AP132" s="741"/>
      <c r="AQ132" s="741"/>
    </row>
    <row r="133" spans="1:43" ht="204" customHeight="1" thickBot="1">
      <c r="A133" s="710" t="s">
        <v>1849</v>
      </c>
      <c r="B133" s="937" t="s">
        <v>1850</v>
      </c>
      <c r="C133" s="929">
        <v>8</v>
      </c>
      <c r="D133" s="930">
        <v>0</v>
      </c>
      <c r="E133" s="714">
        <v>8</v>
      </c>
      <c r="F133" s="715">
        <v>0</v>
      </c>
      <c r="G133" s="715"/>
      <c r="H133" s="717">
        <f t="shared" si="62"/>
        <v>1</v>
      </c>
      <c r="I133" s="717">
        <v>0</v>
      </c>
      <c r="J133" s="852"/>
      <c r="K133" s="852"/>
      <c r="L133" s="719"/>
      <c r="M133" s="720"/>
      <c r="N133" s="721"/>
      <c r="O133" s="852"/>
      <c r="P133" s="852"/>
      <c r="Q133" s="852"/>
      <c r="R133" s="722"/>
      <c r="S133" s="852"/>
      <c r="T133" s="725">
        <v>8</v>
      </c>
      <c r="U133" s="725">
        <f>SUM(E133:G133)</f>
        <v>8</v>
      </c>
      <c r="V133" s="922">
        <f>IF(U133/T133&gt;=100%,100%,U133/T133)</f>
        <v>1</v>
      </c>
      <c r="W133" s="743">
        <v>0.05</v>
      </c>
      <c r="X133" s="716">
        <v>0</v>
      </c>
      <c r="Y133" s="768"/>
      <c r="Z133" s="933"/>
      <c r="AA133" s="933"/>
      <c r="AB133" s="730" t="e">
        <f>+AA133/Y133</f>
        <v>#DIV/0!</v>
      </c>
      <c r="AC133" s="934"/>
      <c r="AD133" s="935" t="e">
        <f t="shared" si="28"/>
        <v>#DIV/0!</v>
      </c>
      <c r="AE133" s="936">
        <f t="shared" si="29"/>
        <v>0</v>
      </c>
      <c r="AF133" s="936"/>
      <c r="AG133" s="936"/>
      <c r="AH133" s="734" t="e">
        <f t="shared" si="30"/>
        <v>#DIV/0!</v>
      </c>
      <c r="AI133" s="768">
        <v>37500000</v>
      </c>
      <c r="AJ133" s="849">
        <f t="shared" si="35"/>
        <v>0</v>
      </c>
      <c r="AK133" s="850">
        <f>+AJ133/AI133</f>
        <v>0</v>
      </c>
      <c r="AL133" s="845"/>
      <c r="AM133" s="738"/>
      <c r="AN133" s="739" t="s">
        <v>280</v>
      </c>
      <c r="AO133" s="1266"/>
      <c r="AP133" s="741"/>
      <c r="AQ133" s="741"/>
    </row>
    <row r="134" spans="1:43" ht="75" customHeight="1">
      <c r="A134" s="710" t="s">
        <v>1851</v>
      </c>
      <c r="B134" s="937" t="s">
        <v>1852</v>
      </c>
      <c r="C134" s="938">
        <v>1</v>
      </c>
      <c r="D134" s="938">
        <v>0</v>
      </c>
      <c r="E134" s="938">
        <v>1</v>
      </c>
      <c r="F134" s="938">
        <v>0</v>
      </c>
      <c r="G134" s="715"/>
      <c r="H134" s="717">
        <f t="shared" si="62"/>
        <v>1</v>
      </c>
      <c r="I134" s="717">
        <v>0</v>
      </c>
      <c r="J134" s="939"/>
      <c r="K134" s="939"/>
      <c r="L134" s="719"/>
      <c r="M134" s="720"/>
      <c r="N134" s="721"/>
      <c r="O134" s="939"/>
      <c r="P134" s="939"/>
      <c r="Q134" s="939"/>
      <c r="R134" s="722"/>
      <c r="S134" s="939"/>
      <c r="T134" s="873">
        <v>1</v>
      </c>
      <c r="U134" s="913">
        <f>SUM(E134:G134)/2</f>
        <v>0.5</v>
      </c>
      <c r="V134" s="924">
        <f>IF(U134/T134&gt;=100%,100%,U134/T134)</f>
        <v>0.5</v>
      </c>
      <c r="W134" s="743">
        <v>0.1</v>
      </c>
      <c r="X134" s="716">
        <v>0</v>
      </c>
      <c r="Y134" s="768"/>
      <c r="Z134" s="933"/>
      <c r="AA134" s="933"/>
      <c r="AB134" s="730" t="e">
        <f>+AA134/Y134</f>
        <v>#DIV/0!</v>
      </c>
      <c r="AC134" s="934"/>
      <c r="AD134" s="935" t="e">
        <f t="shared" si="28"/>
        <v>#DIV/0!</v>
      </c>
      <c r="AE134" s="936">
        <f t="shared" si="29"/>
        <v>0</v>
      </c>
      <c r="AF134" s="936"/>
      <c r="AG134" s="936"/>
      <c r="AH134" s="734" t="e">
        <f t="shared" si="30"/>
        <v>#DIV/0!</v>
      </c>
      <c r="AI134" s="768">
        <v>37500000</v>
      </c>
      <c r="AJ134" s="849">
        <f t="shared" si="35"/>
        <v>0</v>
      </c>
      <c r="AK134" s="850">
        <f>+AJ134/AI134</f>
        <v>0</v>
      </c>
      <c r="AL134" s="845"/>
      <c r="AM134" s="738"/>
      <c r="AN134" s="884"/>
      <c r="AO134" s="740" t="s">
        <v>1591</v>
      </c>
      <c r="AP134" s="741"/>
      <c r="AQ134" s="741"/>
    </row>
    <row r="135" spans="1:43" ht="129.75" customHeight="1">
      <c r="A135" s="840" t="s">
        <v>1853</v>
      </c>
      <c r="B135" s="937" t="s">
        <v>1854</v>
      </c>
      <c r="C135" s="938">
        <v>1</v>
      </c>
      <c r="D135" s="940">
        <v>1</v>
      </c>
      <c r="E135" s="751">
        <v>1</v>
      </c>
      <c r="F135" s="732">
        <v>1</v>
      </c>
      <c r="G135" s="715"/>
      <c r="H135" s="717">
        <f t="shared" si="62"/>
        <v>1</v>
      </c>
      <c r="I135" s="717">
        <f>IF(F135/D135&gt;=100%,100%,F135/D135)</f>
        <v>1</v>
      </c>
      <c r="J135" s="939" t="s">
        <v>1855</v>
      </c>
      <c r="K135" s="939"/>
      <c r="L135" s="719"/>
      <c r="M135" s="720"/>
      <c r="N135" s="721"/>
      <c r="O135" s="939"/>
      <c r="P135" s="939"/>
      <c r="Q135" s="939"/>
      <c r="R135" s="722"/>
      <c r="S135" s="939"/>
      <c r="T135" s="873">
        <v>1</v>
      </c>
      <c r="U135" s="913">
        <f>SUM(E135:G135)/4</f>
        <v>0.5</v>
      </c>
      <c r="V135" s="924">
        <f>IF(U135/T135&gt;=100%,100%,U135/T135)</f>
        <v>0.5</v>
      </c>
      <c r="W135" s="743">
        <v>0.35</v>
      </c>
      <c r="X135" s="716">
        <v>0.5</v>
      </c>
      <c r="Y135" s="754"/>
      <c r="Z135" s="933"/>
      <c r="AA135" s="933"/>
      <c r="AB135" s="730" t="e">
        <f>+AA135/Y135</f>
        <v>#DIV/0!</v>
      </c>
      <c r="AC135" s="934"/>
      <c r="AD135" s="935" t="e">
        <f t="shared" si="28"/>
        <v>#DIV/0!</v>
      </c>
      <c r="AE135" s="936">
        <f t="shared" si="29"/>
        <v>0</v>
      </c>
      <c r="AF135" s="936"/>
      <c r="AG135" s="936"/>
      <c r="AH135" s="926" t="e">
        <f t="shared" si="30"/>
        <v>#DIV/0!</v>
      </c>
      <c r="AI135" s="754">
        <v>87500000</v>
      </c>
      <c r="AJ135" s="849">
        <f t="shared" si="35"/>
        <v>0</v>
      </c>
      <c r="AK135" s="850">
        <f>+AJ135/AI135</f>
        <v>0</v>
      </c>
      <c r="AL135" s="845"/>
      <c r="AM135" s="738" t="s">
        <v>1321</v>
      </c>
      <c r="AN135" s="739" t="s">
        <v>964</v>
      </c>
      <c r="AO135" s="740" t="s">
        <v>1591</v>
      </c>
      <c r="AP135" s="741"/>
      <c r="AQ135" s="741"/>
    </row>
    <row r="136" spans="1:43" s="709" customFormat="1" ht="75" customHeight="1">
      <c r="A136" s="687" t="s">
        <v>1856</v>
      </c>
      <c r="B136" s="688"/>
      <c r="C136" s="689"/>
      <c r="D136" s="690"/>
      <c r="E136" s="689"/>
      <c r="F136" s="691"/>
      <c r="G136" s="691"/>
      <c r="H136" s="693">
        <v>0</v>
      </c>
      <c r="I136" s="693">
        <f>+SUMPRODUCT(I137:I138,X137:X138)</f>
        <v>1</v>
      </c>
      <c r="J136" s="834"/>
      <c r="K136" s="834"/>
      <c r="L136" s="694"/>
      <c r="M136" s="688"/>
      <c r="N136" s="688"/>
      <c r="O136" s="834"/>
      <c r="P136" s="834"/>
      <c r="Q136" s="834"/>
      <c r="R136" s="770"/>
      <c r="S136" s="834"/>
      <c r="T136" s="835"/>
      <c r="U136" s="697"/>
      <c r="V136" s="676">
        <f>+SUMPRODUCT(V137:V138,W137:W138)</f>
        <v>0.25</v>
      </c>
      <c r="W136" s="693">
        <v>0.15</v>
      </c>
      <c r="X136" s="693">
        <v>0.2</v>
      </c>
      <c r="Y136" s="699">
        <v>50000000</v>
      </c>
      <c r="Z136" s="699">
        <f>SUM(Z137:Z138)</f>
        <v>0</v>
      </c>
      <c r="AA136" s="699">
        <v>50000000</v>
      </c>
      <c r="AB136" s="700">
        <f t="shared" ref="AB136:AB199" si="63">+AA136/Y136</f>
        <v>1</v>
      </c>
      <c r="AC136" s="699">
        <v>50000000</v>
      </c>
      <c r="AD136" s="838">
        <f t="shared" si="28"/>
        <v>1</v>
      </c>
      <c r="AE136" s="927">
        <f t="shared" si="29"/>
        <v>0</v>
      </c>
      <c r="AF136" s="927"/>
      <c r="AG136" s="927"/>
      <c r="AH136" s="703" t="e">
        <f t="shared" si="30"/>
        <v>#DIV/0!</v>
      </c>
      <c r="AI136" s="699">
        <f>SUM(AI137:AI138)</f>
        <v>150000000</v>
      </c>
      <c r="AJ136" s="699">
        <f>+SUM(Z136:AA136)</f>
        <v>50000000</v>
      </c>
      <c r="AK136" s="838">
        <f t="shared" si="31"/>
        <v>0.33333333333333331</v>
      </c>
      <c r="AL136" s="834"/>
      <c r="AM136" s="705" t="s">
        <v>1321</v>
      </c>
      <c r="AN136" s="706"/>
      <c r="AO136" s="707"/>
      <c r="AP136" s="708"/>
      <c r="AQ136" s="708"/>
    </row>
    <row r="137" spans="1:43" ht="70.5" customHeight="1">
      <c r="A137" s="710" t="s">
        <v>1857</v>
      </c>
      <c r="B137" s="860" t="s">
        <v>1858</v>
      </c>
      <c r="C137" s="941">
        <v>0</v>
      </c>
      <c r="D137" s="942">
        <v>1</v>
      </c>
      <c r="E137" s="714">
        <v>0</v>
      </c>
      <c r="F137" s="715">
        <v>1</v>
      </c>
      <c r="G137" s="715"/>
      <c r="H137" s="717" t="s">
        <v>1536</v>
      </c>
      <c r="I137" s="717">
        <f>IF(F137/D137&gt;=100%,100%,F137/D137)</f>
        <v>1</v>
      </c>
      <c r="J137" s="843" t="s">
        <v>1859</v>
      </c>
      <c r="K137" s="843"/>
      <c r="L137" s="719"/>
      <c r="M137" s="720"/>
      <c r="N137" s="721"/>
      <c r="O137" s="843"/>
      <c r="P137" s="843"/>
      <c r="Q137" s="843"/>
      <c r="R137" s="722"/>
      <c r="S137" s="843"/>
      <c r="T137" s="844">
        <v>1</v>
      </c>
      <c r="U137" s="891">
        <f>SUM(E137:G137)/2</f>
        <v>0.5</v>
      </c>
      <c r="V137" s="924">
        <f t="shared" ref="V137:V146" si="64">IF(U137/T137&gt;=100%,100%,U137/T137)</f>
        <v>0.5</v>
      </c>
      <c r="W137" s="716">
        <v>0.5</v>
      </c>
      <c r="X137" s="716">
        <v>1</v>
      </c>
      <c r="Y137" s="754"/>
      <c r="Z137" s="933"/>
      <c r="AA137" s="933"/>
      <c r="AB137" s="730" t="e">
        <f t="shared" si="63"/>
        <v>#DIV/0!</v>
      </c>
      <c r="AC137" s="934"/>
      <c r="AD137" s="935" t="e">
        <f t="shared" ref="AD137:AD200" si="65">+AC137/Y137</f>
        <v>#DIV/0!</v>
      </c>
      <c r="AE137" s="936">
        <f t="shared" ref="AE137:AE200" si="66">+AA137-AC137</f>
        <v>0</v>
      </c>
      <c r="AF137" s="936"/>
      <c r="AG137" s="936"/>
      <c r="AH137" s="734" t="e">
        <f t="shared" ref="AH137:AH200" si="67">+AG137/AF137</f>
        <v>#DIV/0!</v>
      </c>
      <c r="AI137" s="754">
        <v>100000000</v>
      </c>
      <c r="AJ137" s="849">
        <f t="shared" si="35"/>
        <v>0</v>
      </c>
      <c r="AK137" s="850">
        <f t="shared" ref="AK137:AK200" si="68">+AJ137/AI137</f>
        <v>0</v>
      </c>
      <c r="AL137" s="845"/>
      <c r="AM137" s="738" t="s">
        <v>1321</v>
      </c>
      <c r="AN137" s="884"/>
      <c r="AO137" s="1273" t="s">
        <v>1591</v>
      </c>
      <c r="AP137" s="741"/>
      <c r="AQ137" s="741"/>
    </row>
    <row r="138" spans="1:43" ht="75" customHeight="1" thickBot="1">
      <c r="A138" s="710" t="s">
        <v>1860</v>
      </c>
      <c r="B138" s="860" t="s">
        <v>1861</v>
      </c>
      <c r="C138" s="941">
        <v>0</v>
      </c>
      <c r="D138" s="942">
        <v>0</v>
      </c>
      <c r="E138" s="714">
        <v>0</v>
      </c>
      <c r="F138" s="715">
        <v>0</v>
      </c>
      <c r="G138" s="715"/>
      <c r="H138" s="716">
        <v>0</v>
      </c>
      <c r="I138" s="716">
        <v>0</v>
      </c>
      <c r="J138" s="852"/>
      <c r="K138" s="852"/>
      <c r="L138" s="719"/>
      <c r="M138" s="720"/>
      <c r="N138" s="721"/>
      <c r="O138" s="852"/>
      <c r="P138" s="852"/>
      <c r="Q138" s="852"/>
      <c r="R138" s="722"/>
      <c r="S138" s="852"/>
      <c r="T138" s="725">
        <v>1</v>
      </c>
      <c r="U138" s="725">
        <f t="shared" ref="U138:U145" si="69">SUM(E138:F138)</f>
        <v>0</v>
      </c>
      <c r="V138" s="922">
        <f t="shared" si="64"/>
        <v>0</v>
      </c>
      <c r="W138" s="716">
        <v>0.5</v>
      </c>
      <c r="X138" s="716">
        <v>0</v>
      </c>
      <c r="Y138" s="768"/>
      <c r="Z138" s="729"/>
      <c r="AA138" s="729"/>
      <c r="AB138" s="730" t="e">
        <f t="shared" si="63"/>
        <v>#DIV/0!</v>
      </c>
      <c r="AC138" s="876"/>
      <c r="AD138" s="716" t="e">
        <f t="shared" si="65"/>
        <v>#DIV/0!</v>
      </c>
      <c r="AE138" s="876">
        <f t="shared" si="66"/>
        <v>0</v>
      </c>
      <c r="AF138" s="876"/>
      <c r="AG138" s="876"/>
      <c r="AH138" s="734" t="e">
        <f t="shared" si="67"/>
        <v>#DIV/0!</v>
      </c>
      <c r="AI138" s="768">
        <v>50000000</v>
      </c>
      <c r="AJ138" s="735">
        <f t="shared" si="35"/>
        <v>0</v>
      </c>
      <c r="AK138" s="772">
        <f t="shared" si="68"/>
        <v>0</v>
      </c>
      <c r="AL138" s="744"/>
      <c r="AM138" s="738" t="s">
        <v>1321</v>
      </c>
      <c r="AN138" s="884"/>
      <c r="AO138" s="1274"/>
      <c r="AP138" s="741"/>
      <c r="AQ138" s="741"/>
    </row>
    <row r="139" spans="1:43" s="709" customFormat="1" ht="45.75" customHeight="1">
      <c r="A139" s="640" t="s">
        <v>1862</v>
      </c>
      <c r="B139" s="641"/>
      <c r="C139" s="642"/>
      <c r="D139" s="810"/>
      <c r="E139" s="642"/>
      <c r="F139" s="644"/>
      <c r="G139" s="644"/>
      <c r="H139" s="645">
        <f>+(H140*W140)</f>
        <v>0.99999999999999989</v>
      </c>
      <c r="I139" s="645">
        <f>+(I140*X140)</f>
        <v>0.99999999999999989</v>
      </c>
      <c r="J139" s="943"/>
      <c r="K139" s="943"/>
      <c r="L139" s="647"/>
      <c r="M139" s="648"/>
      <c r="N139" s="648"/>
      <c r="O139" s="943"/>
      <c r="P139" s="943"/>
      <c r="Q139" s="943"/>
      <c r="R139" s="944"/>
      <c r="S139" s="943"/>
      <c r="T139" s="646"/>
      <c r="U139" s="813"/>
      <c r="V139" s="814">
        <f>+(V140*W140)</f>
        <v>0.73083333333333333</v>
      </c>
      <c r="W139" s="815">
        <v>0.1</v>
      </c>
      <c r="X139" s="815">
        <v>0.1</v>
      </c>
      <c r="Y139" s="656">
        <f>+Y140</f>
        <v>744000000</v>
      </c>
      <c r="Z139" s="656">
        <f>+Z140</f>
        <v>244097340</v>
      </c>
      <c r="AA139" s="656">
        <f>+AA140</f>
        <v>493940204</v>
      </c>
      <c r="AB139" s="817">
        <f t="shared" si="63"/>
        <v>0.66389812365591394</v>
      </c>
      <c r="AC139" s="656">
        <f>+AC140</f>
        <v>395940204</v>
      </c>
      <c r="AD139" s="945">
        <f t="shared" si="65"/>
        <v>0.53217769354838707</v>
      </c>
      <c r="AE139" s="946">
        <f t="shared" si="66"/>
        <v>98000000</v>
      </c>
      <c r="AF139" s="656">
        <f>+AF140</f>
        <v>90000000</v>
      </c>
      <c r="AG139" s="656">
        <f>+AG140</f>
        <v>0</v>
      </c>
      <c r="AH139" s="660">
        <f t="shared" si="67"/>
        <v>0</v>
      </c>
      <c r="AI139" s="656">
        <f>+AI140</f>
        <v>2200000000</v>
      </c>
      <c r="AJ139" s="656">
        <f>+AJ140</f>
        <v>738037544</v>
      </c>
      <c r="AK139" s="945">
        <f t="shared" si="68"/>
        <v>0.33547161090909089</v>
      </c>
      <c r="AL139" s="947"/>
      <c r="AM139" s="662"/>
      <c r="AN139" s="663"/>
      <c r="AO139" s="664"/>
      <c r="AP139" s="824"/>
      <c r="AQ139" s="824"/>
    </row>
    <row r="140" spans="1:43" s="709" customFormat="1" ht="40.5" customHeight="1">
      <c r="A140" s="666" t="s">
        <v>1863</v>
      </c>
      <c r="B140" s="783"/>
      <c r="C140" s="784"/>
      <c r="D140" s="785"/>
      <c r="E140" s="784"/>
      <c r="F140" s="786"/>
      <c r="G140" s="786"/>
      <c r="H140" s="671">
        <f>+(H141*W141)+(H147*W147)+(H154*W154)</f>
        <v>0.99999999999999989</v>
      </c>
      <c r="I140" s="671">
        <f>+(I141*X141)+(I147*X147)+(I154*X154)</f>
        <v>0.99999999999999989</v>
      </c>
      <c r="J140" s="948"/>
      <c r="K140" s="948"/>
      <c r="L140" s="787"/>
      <c r="M140" s="783"/>
      <c r="N140" s="783"/>
      <c r="O140" s="948"/>
      <c r="P140" s="948"/>
      <c r="Q140" s="948"/>
      <c r="R140" s="789"/>
      <c r="S140" s="948"/>
      <c r="T140" s="949"/>
      <c r="U140" s="792"/>
      <c r="V140" s="671">
        <f>+(V141*W141)+(V147*W147)+(V154*W154)</f>
        <v>0.73083333333333333</v>
      </c>
      <c r="W140" s="671">
        <v>1</v>
      </c>
      <c r="X140" s="671">
        <v>1</v>
      </c>
      <c r="Y140" s="678">
        <f>+Y141+Y147+Y154</f>
        <v>744000000</v>
      </c>
      <c r="Z140" s="678">
        <f>+Z141+Z147+Z154</f>
        <v>244097340</v>
      </c>
      <c r="AA140" s="678">
        <f>+AA141+AA147+AA154</f>
        <v>493940204</v>
      </c>
      <c r="AB140" s="679">
        <f t="shared" si="63"/>
        <v>0.66389812365591394</v>
      </c>
      <c r="AC140" s="678">
        <f>+AC141+AC147+AC154</f>
        <v>395940204</v>
      </c>
      <c r="AD140" s="831">
        <f t="shared" si="65"/>
        <v>0.53217769354838707</v>
      </c>
      <c r="AE140" s="950">
        <f t="shared" si="66"/>
        <v>98000000</v>
      </c>
      <c r="AF140" s="678">
        <f>+AF141+AF147+AF154</f>
        <v>90000000</v>
      </c>
      <c r="AG140" s="678">
        <f>+AG141+AG147+AG154</f>
        <v>0</v>
      </c>
      <c r="AH140" s="793">
        <f t="shared" si="67"/>
        <v>0</v>
      </c>
      <c r="AI140" s="678">
        <f>+AI141+AI147+AI154</f>
        <v>2200000000</v>
      </c>
      <c r="AJ140" s="678">
        <f>+AJ141+AJ147+AJ154</f>
        <v>738037544</v>
      </c>
      <c r="AK140" s="831">
        <f t="shared" si="68"/>
        <v>0.33547161090909089</v>
      </c>
      <c r="AL140" s="826"/>
      <c r="AM140" s="683" t="s">
        <v>1324</v>
      </c>
      <c r="AN140" s="684"/>
      <c r="AO140" s="685"/>
      <c r="AP140" s="833"/>
      <c r="AQ140" s="833"/>
    </row>
    <row r="141" spans="1:43" s="709" customFormat="1" ht="74.25" customHeight="1">
      <c r="A141" s="687" t="s">
        <v>1864</v>
      </c>
      <c r="B141" s="688"/>
      <c r="C141" s="689"/>
      <c r="D141" s="690"/>
      <c r="E141" s="689"/>
      <c r="F141" s="691"/>
      <c r="G141" s="691"/>
      <c r="H141" s="693">
        <f>+(H142*25%)+(H144*25%)+(H145*25%)+(H146*25%)</f>
        <v>1</v>
      </c>
      <c r="I141" s="693">
        <f>+SUMPRODUCT(I142:I146,X142:X146)</f>
        <v>1</v>
      </c>
      <c r="J141" s="951"/>
      <c r="K141" s="951"/>
      <c r="L141" s="694"/>
      <c r="M141" s="688"/>
      <c r="N141" s="688"/>
      <c r="O141" s="951"/>
      <c r="P141" s="951"/>
      <c r="Q141" s="951"/>
      <c r="R141" s="770"/>
      <c r="S141" s="951"/>
      <c r="T141" s="952"/>
      <c r="U141" s="697"/>
      <c r="V141" s="676">
        <f>+SUMPRODUCT(V142:V146,W142:W146)</f>
        <v>0.78366666666666662</v>
      </c>
      <c r="W141" s="693">
        <v>0.3</v>
      </c>
      <c r="X141" s="693">
        <v>0.3</v>
      </c>
      <c r="Y141" s="699">
        <v>214000000</v>
      </c>
      <c r="Z141" s="699">
        <v>66185000</v>
      </c>
      <c r="AA141" s="699">
        <v>140271800</v>
      </c>
      <c r="AB141" s="700">
        <f t="shared" si="63"/>
        <v>0.65547570093457941</v>
      </c>
      <c r="AC141" s="699">
        <v>140271800</v>
      </c>
      <c r="AD141" s="838">
        <f t="shared" si="65"/>
        <v>0.65547570093457941</v>
      </c>
      <c r="AE141" s="927">
        <f t="shared" si="66"/>
        <v>0</v>
      </c>
      <c r="AF141" s="927"/>
      <c r="AG141" s="927"/>
      <c r="AH141" s="703" t="e">
        <f t="shared" si="67"/>
        <v>#DIV/0!</v>
      </c>
      <c r="AI141" s="699">
        <f>SUM(AI142:AI146)</f>
        <v>650000000</v>
      </c>
      <c r="AJ141" s="699">
        <f>+SUM(Z141:AA141)</f>
        <v>206456800</v>
      </c>
      <c r="AK141" s="838">
        <f t="shared" si="68"/>
        <v>0.31762584615384615</v>
      </c>
      <c r="AL141" s="834"/>
      <c r="AM141" s="705" t="s">
        <v>1324</v>
      </c>
      <c r="AN141" s="706"/>
      <c r="AO141" s="707"/>
      <c r="AP141" s="708"/>
      <c r="AQ141" s="708"/>
    </row>
    <row r="142" spans="1:43" ht="102">
      <c r="A142" s="710" t="s">
        <v>1865</v>
      </c>
      <c r="B142" s="953" t="s">
        <v>1866</v>
      </c>
      <c r="C142" s="954">
        <v>3</v>
      </c>
      <c r="D142" s="955">
        <v>4</v>
      </c>
      <c r="E142" s="714">
        <v>3</v>
      </c>
      <c r="F142" s="715">
        <v>26</v>
      </c>
      <c r="G142" s="715"/>
      <c r="H142" s="717">
        <f t="shared" ref="H142:H153" si="70">IF((E142+G142)/C142&gt;=100%,100%,(E142+G142)/C142)</f>
        <v>1</v>
      </c>
      <c r="I142" s="717">
        <f>IF(F142/D142&gt;=100%,100%,F142/D142)</f>
        <v>1</v>
      </c>
      <c r="J142" s="956" t="s">
        <v>1867</v>
      </c>
      <c r="K142" s="956"/>
      <c r="L142" s="719"/>
      <c r="M142" s="720"/>
      <c r="N142" s="721"/>
      <c r="O142" s="956"/>
      <c r="P142" s="956"/>
      <c r="Q142" s="956"/>
      <c r="R142" s="722"/>
      <c r="S142" s="956"/>
      <c r="T142" s="957">
        <v>14</v>
      </c>
      <c r="U142" s="725">
        <f>SUM(E142:G142)</f>
        <v>29</v>
      </c>
      <c r="V142" s="922">
        <f t="shared" si="64"/>
        <v>1</v>
      </c>
      <c r="W142" s="743">
        <v>0.23</v>
      </c>
      <c r="X142" s="716">
        <v>0.2</v>
      </c>
      <c r="Y142" s="754"/>
      <c r="Z142" s="933"/>
      <c r="AA142" s="933"/>
      <c r="AB142" s="730" t="e">
        <f t="shared" si="63"/>
        <v>#DIV/0!</v>
      </c>
      <c r="AC142" s="934"/>
      <c r="AD142" s="935" t="e">
        <f t="shared" si="65"/>
        <v>#DIV/0!</v>
      </c>
      <c r="AE142" s="936">
        <f t="shared" si="66"/>
        <v>0</v>
      </c>
      <c r="AF142" s="936"/>
      <c r="AG142" s="936"/>
      <c r="AH142" s="734" t="e">
        <f t="shared" si="67"/>
        <v>#DIV/0!</v>
      </c>
      <c r="AI142" s="754">
        <v>145000000</v>
      </c>
      <c r="AJ142" s="849">
        <f t="shared" ref="AJ142:AJ204" si="71">+SUM(Z142:AA142)</f>
        <v>0</v>
      </c>
      <c r="AK142" s="850">
        <f t="shared" si="68"/>
        <v>0</v>
      </c>
      <c r="AL142" s="845"/>
      <c r="AM142" s="738" t="s">
        <v>1324</v>
      </c>
      <c r="AN142" s="739" t="s">
        <v>1110</v>
      </c>
      <c r="AO142" s="1264" t="s">
        <v>1611</v>
      </c>
      <c r="AP142" s="741"/>
      <c r="AQ142" s="741"/>
    </row>
    <row r="143" spans="1:43" ht="51">
      <c r="A143" s="710" t="s">
        <v>1868</v>
      </c>
      <c r="B143" s="958" t="s">
        <v>1869</v>
      </c>
      <c r="C143" s="954">
        <v>0</v>
      </c>
      <c r="D143" s="955">
        <v>1</v>
      </c>
      <c r="E143" s="714">
        <v>0</v>
      </c>
      <c r="F143" s="715">
        <v>2</v>
      </c>
      <c r="G143" s="715"/>
      <c r="H143" s="717" t="s">
        <v>1536</v>
      </c>
      <c r="I143" s="717">
        <f>IF(F143/D143&gt;=100%,100%,F143/D143)</f>
        <v>1</v>
      </c>
      <c r="J143" s="956" t="s">
        <v>1870</v>
      </c>
      <c r="K143" s="956"/>
      <c r="L143" s="719"/>
      <c r="M143" s="720"/>
      <c r="N143" s="721"/>
      <c r="O143" s="956"/>
      <c r="P143" s="956"/>
      <c r="Q143" s="956"/>
      <c r="R143" s="722"/>
      <c r="S143" s="956"/>
      <c r="T143" s="957">
        <v>3</v>
      </c>
      <c r="U143" s="725">
        <f t="shared" ref="U143:U144" si="72">SUM(E143:G143)</f>
        <v>2</v>
      </c>
      <c r="V143" s="922">
        <f t="shared" si="64"/>
        <v>0.66666666666666663</v>
      </c>
      <c r="W143" s="743">
        <v>0.16</v>
      </c>
      <c r="X143" s="716">
        <v>0.2</v>
      </c>
      <c r="Y143" s="754"/>
      <c r="Z143" s="933"/>
      <c r="AA143" s="933"/>
      <c r="AB143" s="730" t="e">
        <f t="shared" si="63"/>
        <v>#DIV/0!</v>
      </c>
      <c r="AC143" s="934"/>
      <c r="AD143" s="935" t="e">
        <f t="shared" si="65"/>
        <v>#DIV/0!</v>
      </c>
      <c r="AE143" s="936">
        <f t="shared" si="66"/>
        <v>0</v>
      </c>
      <c r="AF143" s="936"/>
      <c r="AG143" s="936"/>
      <c r="AH143" s="734" t="e">
        <f t="shared" si="67"/>
        <v>#DIV/0!</v>
      </c>
      <c r="AI143" s="754">
        <v>120000000</v>
      </c>
      <c r="AJ143" s="849">
        <f t="shared" si="71"/>
        <v>0</v>
      </c>
      <c r="AK143" s="850">
        <f t="shared" si="68"/>
        <v>0</v>
      </c>
      <c r="AL143" s="845"/>
      <c r="AM143" s="738" t="s">
        <v>1324</v>
      </c>
      <c r="AN143" s="739" t="s">
        <v>1110</v>
      </c>
      <c r="AO143" s="1265"/>
      <c r="AP143" s="741"/>
      <c r="AQ143" s="741"/>
    </row>
    <row r="144" spans="1:43" ht="118.5" customHeight="1">
      <c r="A144" s="710" t="s">
        <v>1871</v>
      </c>
      <c r="B144" s="958" t="s">
        <v>1872</v>
      </c>
      <c r="C144" s="954">
        <v>1</v>
      </c>
      <c r="D144" s="955">
        <v>3</v>
      </c>
      <c r="E144" s="714">
        <v>1</v>
      </c>
      <c r="F144" s="715">
        <v>21</v>
      </c>
      <c r="G144" s="715"/>
      <c r="H144" s="717">
        <f t="shared" si="70"/>
        <v>1</v>
      </c>
      <c r="I144" s="717">
        <f>IF(F144/D144&gt;=100%,100%,F144/D144)</f>
        <v>1</v>
      </c>
      <c r="J144" s="956" t="s">
        <v>1873</v>
      </c>
      <c r="K144" s="956"/>
      <c r="L144" s="719"/>
      <c r="M144" s="720"/>
      <c r="N144" s="721"/>
      <c r="O144" s="956"/>
      <c r="P144" s="956"/>
      <c r="Q144" s="956"/>
      <c r="R144" s="722"/>
      <c r="S144" s="956"/>
      <c r="T144" s="957">
        <v>8</v>
      </c>
      <c r="U144" s="725">
        <f t="shared" si="72"/>
        <v>22</v>
      </c>
      <c r="V144" s="922">
        <f t="shared" si="64"/>
        <v>1</v>
      </c>
      <c r="W144" s="743">
        <v>0.22</v>
      </c>
      <c r="X144" s="716">
        <v>0.2</v>
      </c>
      <c r="Y144" s="754"/>
      <c r="Z144" s="933"/>
      <c r="AA144" s="933"/>
      <c r="AB144" s="730" t="e">
        <f t="shared" si="63"/>
        <v>#DIV/0!</v>
      </c>
      <c r="AC144" s="934"/>
      <c r="AD144" s="935" t="e">
        <f t="shared" si="65"/>
        <v>#DIV/0!</v>
      </c>
      <c r="AE144" s="936">
        <f t="shared" si="66"/>
        <v>0</v>
      </c>
      <c r="AF144" s="936"/>
      <c r="AG144" s="936"/>
      <c r="AH144" s="734" t="e">
        <f t="shared" si="67"/>
        <v>#DIV/0!</v>
      </c>
      <c r="AI144" s="754">
        <v>145000000</v>
      </c>
      <c r="AJ144" s="849">
        <f t="shared" si="71"/>
        <v>0</v>
      </c>
      <c r="AK144" s="850">
        <f t="shared" si="68"/>
        <v>0</v>
      </c>
      <c r="AL144" s="845"/>
      <c r="AM144" s="738" t="s">
        <v>1324</v>
      </c>
      <c r="AN144" s="739" t="s">
        <v>1110</v>
      </c>
      <c r="AO144" s="1265"/>
      <c r="AP144" s="741"/>
      <c r="AQ144" s="741"/>
    </row>
    <row r="145" spans="1:43" ht="111.75" customHeight="1">
      <c r="A145" s="840" t="s">
        <v>1874</v>
      </c>
      <c r="B145" s="958" t="s">
        <v>1875</v>
      </c>
      <c r="C145" s="954">
        <v>1</v>
      </c>
      <c r="D145" s="955">
        <v>1</v>
      </c>
      <c r="E145" s="714">
        <v>1</v>
      </c>
      <c r="F145" s="715">
        <v>1</v>
      </c>
      <c r="G145" s="715"/>
      <c r="H145" s="717">
        <f t="shared" si="70"/>
        <v>1</v>
      </c>
      <c r="I145" s="717">
        <f>IF(F145/D145&gt;=100%,100%,F145/D145)</f>
        <v>1</v>
      </c>
      <c r="J145" s="956" t="s">
        <v>1876</v>
      </c>
      <c r="K145" s="956"/>
      <c r="L145" s="719"/>
      <c r="M145" s="720"/>
      <c r="N145" s="721"/>
      <c r="O145" s="956"/>
      <c r="P145" s="956"/>
      <c r="Q145" s="956"/>
      <c r="R145" s="722"/>
      <c r="S145" s="956"/>
      <c r="T145" s="957">
        <v>4</v>
      </c>
      <c r="U145" s="725">
        <f t="shared" si="69"/>
        <v>2</v>
      </c>
      <c r="V145" s="922">
        <f t="shared" si="64"/>
        <v>0.5</v>
      </c>
      <c r="W145" s="743">
        <v>0.23</v>
      </c>
      <c r="X145" s="716">
        <v>0.2</v>
      </c>
      <c r="Y145" s="754"/>
      <c r="Z145" s="933"/>
      <c r="AA145" s="933"/>
      <c r="AB145" s="730" t="e">
        <f t="shared" si="63"/>
        <v>#DIV/0!</v>
      </c>
      <c r="AC145" s="934"/>
      <c r="AD145" s="935" t="e">
        <f t="shared" si="65"/>
        <v>#DIV/0!</v>
      </c>
      <c r="AE145" s="936">
        <f t="shared" si="66"/>
        <v>0</v>
      </c>
      <c r="AF145" s="936"/>
      <c r="AG145" s="936"/>
      <c r="AH145" s="734" t="e">
        <f t="shared" si="67"/>
        <v>#DIV/0!</v>
      </c>
      <c r="AI145" s="754">
        <v>145000000</v>
      </c>
      <c r="AJ145" s="849">
        <f t="shared" si="71"/>
        <v>0</v>
      </c>
      <c r="AK145" s="850">
        <f t="shared" si="68"/>
        <v>0</v>
      </c>
      <c r="AL145" s="845"/>
      <c r="AM145" s="738" t="s">
        <v>1324</v>
      </c>
      <c r="AN145" s="739" t="s">
        <v>1110</v>
      </c>
      <c r="AO145" s="1266"/>
      <c r="AP145" s="741"/>
      <c r="AQ145" s="741"/>
    </row>
    <row r="146" spans="1:43" ht="118.5" customHeight="1">
      <c r="A146" s="840" t="s">
        <v>1877</v>
      </c>
      <c r="B146" s="958" t="s">
        <v>1878</v>
      </c>
      <c r="C146" s="959">
        <v>0.2</v>
      </c>
      <c r="D146" s="960">
        <v>0.7</v>
      </c>
      <c r="E146" s="751">
        <v>0.2</v>
      </c>
      <c r="F146" s="732">
        <v>0.7</v>
      </c>
      <c r="G146" s="715"/>
      <c r="H146" s="717">
        <f t="shared" si="70"/>
        <v>1</v>
      </c>
      <c r="I146" s="717">
        <f>IF(F146/D146&gt;=100%,100%,F146/D146)</f>
        <v>1</v>
      </c>
      <c r="J146" s="956" t="s">
        <v>1879</v>
      </c>
      <c r="K146" s="956"/>
      <c r="L146" s="719"/>
      <c r="M146" s="720"/>
      <c r="N146" s="721"/>
      <c r="O146" s="956"/>
      <c r="P146" s="956"/>
      <c r="Q146" s="956"/>
      <c r="R146" s="722"/>
      <c r="S146" s="956"/>
      <c r="T146" s="847">
        <v>1</v>
      </c>
      <c r="U146" s="752">
        <f>+F146</f>
        <v>0.7</v>
      </c>
      <c r="V146" s="924">
        <f t="shared" si="64"/>
        <v>0.7</v>
      </c>
      <c r="W146" s="743">
        <v>0.16</v>
      </c>
      <c r="X146" s="716">
        <v>0.2</v>
      </c>
      <c r="Y146" s="754"/>
      <c r="Z146" s="933"/>
      <c r="AA146" s="933"/>
      <c r="AB146" s="730" t="e">
        <f t="shared" si="63"/>
        <v>#DIV/0!</v>
      </c>
      <c r="AC146" s="934"/>
      <c r="AD146" s="935" t="e">
        <f t="shared" si="65"/>
        <v>#DIV/0!</v>
      </c>
      <c r="AE146" s="936">
        <f t="shared" si="66"/>
        <v>0</v>
      </c>
      <c r="AF146" s="936"/>
      <c r="AG146" s="936"/>
      <c r="AH146" s="734" t="e">
        <f t="shared" si="67"/>
        <v>#DIV/0!</v>
      </c>
      <c r="AI146" s="754">
        <v>95000000</v>
      </c>
      <c r="AJ146" s="849">
        <f t="shared" si="71"/>
        <v>0</v>
      </c>
      <c r="AK146" s="850">
        <f t="shared" si="68"/>
        <v>0</v>
      </c>
      <c r="AL146" s="845"/>
      <c r="AM146" s="738" t="s">
        <v>1324</v>
      </c>
      <c r="AN146" s="739" t="s">
        <v>1110</v>
      </c>
      <c r="AO146" s="740" t="s">
        <v>1611</v>
      </c>
      <c r="AP146" s="741"/>
      <c r="AQ146" s="741"/>
    </row>
    <row r="147" spans="1:43" s="709" customFormat="1" ht="118.5" customHeight="1">
      <c r="A147" s="687" t="s">
        <v>1880</v>
      </c>
      <c r="B147" s="688"/>
      <c r="C147" s="689"/>
      <c r="D147" s="690"/>
      <c r="E147" s="689"/>
      <c r="F147" s="691"/>
      <c r="G147" s="691"/>
      <c r="H147" s="693">
        <f>+SUMPRODUCT(H148:H153,X148:X153)</f>
        <v>0.99999999999999989</v>
      </c>
      <c r="I147" s="693">
        <f>+SUMPRODUCT(I148:I153,X148:X153)</f>
        <v>0.99999999999999989</v>
      </c>
      <c r="J147" s="834"/>
      <c r="K147" s="834"/>
      <c r="L147" s="694"/>
      <c r="M147" s="688"/>
      <c r="N147" s="688"/>
      <c r="O147" s="834"/>
      <c r="P147" s="834"/>
      <c r="Q147" s="834"/>
      <c r="R147" s="770"/>
      <c r="S147" s="834"/>
      <c r="T147" s="835"/>
      <c r="U147" s="697"/>
      <c r="V147" s="676">
        <f>+SUMPRODUCT(V148:V153,W148:W153)</f>
        <v>0.72733333333333328</v>
      </c>
      <c r="W147" s="693">
        <v>0.6</v>
      </c>
      <c r="X147" s="693">
        <v>0.6</v>
      </c>
      <c r="Y147" s="699">
        <v>380000000</v>
      </c>
      <c r="Z147" s="699">
        <v>106085000</v>
      </c>
      <c r="AA147" s="699">
        <v>213691584</v>
      </c>
      <c r="AB147" s="700">
        <f t="shared" si="63"/>
        <v>0.56234627368421053</v>
      </c>
      <c r="AC147" s="699">
        <v>213691584</v>
      </c>
      <c r="AD147" s="838">
        <f t="shared" si="65"/>
        <v>0.56234627368421053</v>
      </c>
      <c r="AE147" s="927">
        <f t="shared" si="66"/>
        <v>0</v>
      </c>
      <c r="AF147" s="927">
        <v>20000000</v>
      </c>
      <c r="AG147" s="927">
        <v>0</v>
      </c>
      <c r="AH147" s="703">
        <f t="shared" si="67"/>
        <v>0</v>
      </c>
      <c r="AI147" s="699">
        <f>SUM(AI148:AI153)</f>
        <v>950000000</v>
      </c>
      <c r="AJ147" s="699">
        <f>+SUM(Z147:AA147)</f>
        <v>319776584</v>
      </c>
      <c r="AK147" s="838">
        <f t="shared" si="68"/>
        <v>0.3366069305263158</v>
      </c>
      <c r="AL147" s="834"/>
      <c r="AM147" s="705" t="s">
        <v>1324</v>
      </c>
      <c r="AN147" s="706"/>
      <c r="AO147" s="707"/>
      <c r="AP147" s="708"/>
      <c r="AQ147" s="708"/>
    </row>
    <row r="148" spans="1:43" ht="83.25" customHeight="1">
      <c r="A148" s="745" t="s">
        <v>1881</v>
      </c>
      <c r="B148" s="961" t="s">
        <v>1882</v>
      </c>
      <c r="C148" s="962">
        <v>1</v>
      </c>
      <c r="D148" s="963">
        <v>2</v>
      </c>
      <c r="E148" s="714">
        <v>1</v>
      </c>
      <c r="F148" s="715">
        <v>2</v>
      </c>
      <c r="G148" s="715"/>
      <c r="H148" s="717">
        <f t="shared" si="70"/>
        <v>1</v>
      </c>
      <c r="I148" s="717">
        <f t="shared" ref="I148:I153" si="73">IF(F148/D148&gt;=100%,100%,F148/D148)</f>
        <v>1</v>
      </c>
      <c r="J148" s="843" t="s">
        <v>1883</v>
      </c>
      <c r="K148" s="843"/>
      <c r="L148" s="719"/>
      <c r="M148" s="720"/>
      <c r="N148" s="721"/>
      <c r="O148" s="843"/>
      <c r="P148" s="843"/>
      <c r="Q148" s="843"/>
      <c r="R148" s="722"/>
      <c r="S148" s="843"/>
      <c r="T148" s="844">
        <v>5</v>
      </c>
      <c r="U148" s="725">
        <f>SUM(E148:G148)</f>
        <v>3</v>
      </c>
      <c r="V148" s="922">
        <f t="shared" ref="V148:V153" si="74">IF(U148/T148&gt;=100%,100%,U148/T148)</f>
        <v>0.6</v>
      </c>
      <c r="W148" s="760">
        <v>0.19</v>
      </c>
      <c r="X148" s="716">
        <v>0.1</v>
      </c>
      <c r="Y148" s="754"/>
      <c r="Z148" s="933"/>
      <c r="AA148" s="933"/>
      <c r="AB148" s="730" t="e">
        <f t="shared" si="63"/>
        <v>#DIV/0!</v>
      </c>
      <c r="AC148" s="934"/>
      <c r="AD148" s="935" t="e">
        <f t="shared" si="65"/>
        <v>#DIV/0!</v>
      </c>
      <c r="AE148" s="936">
        <f t="shared" si="66"/>
        <v>0</v>
      </c>
      <c r="AF148" s="936"/>
      <c r="AG148" s="936"/>
      <c r="AH148" s="734" t="e">
        <f t="shared" si="67"/>
        <v>#DIV/0!</v>
      </c>
      <c r="AI148" s="754">
        <v>106100000</v>
      </c>
      <c r="AJ148" s="849">
        <f t="shared" si="71"/>
        <v>0</v>
      </c>
      <c r="AK148" s="850">
        <f t="shared" si="68"/>
        <v>0</v>
      </c>
      <c r="AL148" s="845"/>
      <c r="AM148" s="738" t="s">
        <v>1324</v>
      </c>
      <c r="AN148" s="739" t="s">
        <v>1110</v>
      </c>
      <c r="AO148" s="1264" t="s">
        <v>1611</v>
      </c>
      <c r="AP148" s="741"/>
      <c r="AQ148" s="741"/>
    </row>
    <row r="149" spans="1:43" ht="127.5">
      <c r="A149" s="745" t="s">
        <v>1884</v>
      </c>
      <c r="B149" s="961" t="s">
        <v>1885</v>
      </c>
      <c r="C149" s="962">
        <v>5</v>
      </c>
      <c r="D149" s="963">
        <v>5</v>
      </c>
      <c r="E149" s="714">
        <v>25</v>
      </c>
      <c r="F149" s="715">
        <v>25</v>
      </c>
      <c r="G149" s="715"/>
      <c r="H149" s="717">
        <f t="shared" si="70"/>
        <v>1</v>
      </c>
      <c r="I149" s="717">
        <f t="shared" si="73"/>
        <v>1</v>
      </c>
      <c r="J149" s="843" t="s">
        <v>1886</v>
      </c>
      <c r="K149" s="843"/>
      <c r="L149" s="719"/>
      <c r="M149" s="720"/>
      <c r="N149" s="721"/>
      <c r="O149" s="843"/>
      <c r="P149" s="843"/>
      <c r="Q149" s="843"/>
      <c r="R149" s="722"/>
      <c r="S149" s="843"/>
      <c r="T149" s="844">
        <v>20</v>
      </c>
      <c r="U149" s="764">
        <f>SUM(E149:G149)</f>
        <v>50</v>
      </c>
      <c r="V149" s="922">
        <f t="shared" si="74"/>
        <v>1</v>
      </c>
      <c r="W149" s="743">
        <v>0.25</v>
      </c>
      <c r="X149" s="716">
        <v>0.2</v>
      </c>
      <c r="Y149" s="754"/>
      <c r="Z149" s="933"/>
      <c r="AA149" s="933"/>
      <c r="AB149" s="730" t="e">
        <f t="shared" si="63"/>
        <v>#DIV/0!</v>
      </c>
      <c r="AC149" s="934"/>
      <c r="AD149" s="935" t="e">
        <f t="shared" si="65"/>
        <v>#DIV/0!</v>
      </c>
      <c r="AE149" s="936">
        <f t="shared" si="66"/>
        <v>0</v>
      </c>
      <c r="AF149" s="936"/>
      <c r="AG149" s="936"/>
      <c r="AH149" s="734" t="e">
        <f t="shared" si="67"/>
        <v>#DIV/0!</v>
      </c>
      <c r="AI149" s="754">
        <v>105900000</v>
      </c>
      <c r="AJ149" s="849">
        <f t="shared" si="71"/>
        <v>0</v>
      </c>
      <c r="AK149" s="850">
        <f t="shared" si="68"/>
        <v>0</v>
      </c>
      <c r="AL149" s="845"/>
      <c r="AM149" s="738" t="s">
        <v>1324</v>
      </c>
      <c r="AN149" s="739" t="s">
        <v>1110</v>
      </c>
      <c r="AO149" s="1265"/>
      <c r="AP149" s="741"/>
      <c r="AQ149" s="741"/>
    </row>
    <row r="150" spans="1:43" ht="83.25" customHeight="1">
      <c r="A150" s="745" t="s">
        <v>1887</v>
      </c>
      <c r="B150" s="961" t="s">
        <v>1888</v>
      </c>
      <c r="C150" s="962">
        <v>10</v>
      </c>
      <c r="D150" s="963">
        <v>25</v>
      </c>
      <c r="E150" s="714">
        <v>25</v>
      </c>
      <c r="F150" s="715">
        <v>170</v>
      </c>
      <c r="G150" s="715"/>
      <c r="H150" s="717">
        <f t="shared" si="70"/>
        <v>1</v>
      </c>
      <c r="I150" s="717">
        <f t="shared" si="73"/>
        <v>1</v>
      </c>
      <c r="J150" s="843" t="s">
        <v>1889</v>
      </c>
      <c r="K150" s="843"/>
      <c r="L150" s="719"/>
      <c r="M150" s="720"/>
      <c r="N150" s="721"/>
      <c r="O150" s="843"/>
      <c r="P150" s="843"/>
      <c r="Q150" s="843"/>
      <c r="R150" s="722"/>
      <c r="S150" s="843"/>
      <c r="T150" s="844">
        <v>35</v>
      </c>
      <c r="U150" s="725">
        <f>SUM(E150:G150)</f>
        <v>195</v>
      </c>
      <c r="V150" s="922">
        <f t="shared" si="74"/>
        <v>1</v>
      </c>
      <c r="W150" s="743">
        <v>0.1</v>
      </c>
      <c r="X150" s="716">
        <v>0.2</v>
      </c>
      <c r="Y150" s="754"/>
      <c r="Z150" s="933"/>
      <c r="AA150" s="933"/>
      <c r="AB150" s="730" t="e">
        <f t="shared" si="63"/>
        <v>#DIV/0!</v>
      </c>
      <c r="AC150" s="934"/>
      <c r="AD150" s="935" t="e">
        <f t="shared" si="65"/>
        <v>#DIV/0!</v>
      </c>
      <c r="AE150" s="936">
        <f t="shared" si="66"/>
        <v>0</v>
      </c>
      <c r="AF150" s="936"/>
      <c r="AG150" s="936"/>
      <c r="AH150" s="734" t="e">
        <f t="shared" si="67"/>
        <v>#DIV/0!</v>
      </c>
      <c r="AI150" s="754">
        <v>46000000</v>
      </c>
      <c r="AJ150" s="849">
        <f t="shared" si="71"/>
        <v>0</v>
      </c>
      <c r="AK150" s="850">
        <f t="shared" si="68"/>
        <v>0</v>
      </c>
      <c r="AL150" s="845"/>
      <c r="AM150" s="738" t="s">
        <v>1324</v>
      </c>
      <c r="AN150" s="739" t="s">
        <v>1110</v>
      </c>
      <c r="AO150" s="1265"/>
      <c r="AP150" s="741"/>
      <c r="AQ150" s="741"/>
    </row>
    <row r="151" spans="1:43" ht="153.75" thickBot="1">
      <c r="A151" s="840" t="s">
        <v>1890</v>
      </c>
      <c r="B151" s="961" t="s">
        <v>1891</v>
      </c>
      <c r="C151" s="962">
        <v>10</v>
      </c>
      <c r="D151" s="963">
        <v>15</v>
      </c>
      <c r="E151" s="714">
        <v>10</v>
      </c>
      <c r="F151" s="715">
        <v>30</v>
      </c>
      <c r="G151" s="715"/>
      <c r="H151" s="717">
        <f t="shared" si="70"/>
        <v>1</v>
      </c>
      <c r="I151" s="717">
        <f t="shared" si="73"/>
        <v>1</v>
      </c>
      <c r="J151" s="843" t="s">
        <v>1892</v>
      </c>
      <c r="K151" s="843"/>
      <c r="L151" s="719"/>
      <c r="M151" s="720"/>
      <c r="N151" s="721"/>
      <c r="O151" s="843"/>
      <c r="P151" s="843"/>
      <c r="Q151" s="843"/>
      <c r="R151" s="722"/>
      <c r="S151" s="843"/>
      <c r="T151" s="844">
        <v>60</v>
      </c>
      <c r="U151" s="725">
        <f>SUM(E151:G151)</f>
        <v>40</v>
      </c>
      <c r="V151" s="922">
        <f t="shared" si="74"/>
        <v>0.66666666666666663</v>
      </c>
      <c r="W151" s="743">
        <v>0.2</v>
      </c>
      <c r="X151" s="716">
        <v>0.2</v>
      </c>
      <c r="Y151" s="754"/>
      <c r="Z151" s="933"/>
      <c r="AA151" s="933"/>
      <c r="AB151" s="730" t="e">
        <f t="shared" si="63"/>
        <v>#DIV/0!</v>
      </c>
      <c r="AC151" s="934"/>
      <c r="AD151" s="935" t="e">
        <f t="shared" si="65"/>
        <v>#DIV/0!</v>
      </c>
      <c r="AE151" s="936">
        <f t="shared" si="66"/>
        <v>0</v>
      </c>
      <c r="AF151" s="936"/>
      <c r="AG151" s="936"/>
      <c r="AH151" s="734" t="e">
        <f t="shared" si="67"/>
        <v>#DIV/0!</v>
      </c>
      <c r="AI151" s="754">
        <v>308000000</v>
      </c>
      <c r="AJ151" s="964">
        <f t="shared" si="71"/>
        <v>0</v>
      </c>
      <c r="AK151" s="965">
        <f t="shared" si="68"/>
        <v>0</v>
      </c>
      <c r="AL151" s="966"/>
      <c r="AM151" s="738" t="s">
        <v>1324</v>
      </c>
      <c r="AN151" s="739" t="s">
        <v>1110</v>
      </c>
      <c r="AO151" s="1266"/>
      <c r="AP151" s="741"/>
      <c r="AQ151" s="741"/>
    </row>
    <row r="152" spans="1:43" ht="83.25" customHeight="1">
      <c r="A152" s="745" t="s">
        <v>1893</v>
      </c>
      <c r="B152" s="961" t="s">
        <v>1894</v>
      </c>
      <c r="C152" s="967">
        <v>0.1</v>
      </c>
      <c r="D152" s="968">
        <v>0.5</v>
      </c>
      <c r="E152" s="751">
        <v>0.1</v>
      </c>
      <c r="F152" s="732">
        <v>0.5</v>
      </c>
      <c r="G152" s="715"/>
      <c r="H152" s="717">
        <f t="shared" si="70"/>
        <v>1</v>
      </c>
      <c r="I152" s="717">
        <f t="shared" si="73"/>
        <v>1</v>
      </c>
      <c r="J152" s="843" t="s">
        <v>1895</v>
      </c>
      <c r="K152" s="843"/>
      <c r="L152" s="719"/>
      <c r="M152" s="720"/>
      <c r="N152" s="721"/>
      <c r="O152" s="843"/>
      <c r="P152" s="843"/>
      <c r="Q152" s="843"/>
      <c r="R152" s="722"/>
      <c r="S152" s="843"/>
      <c r="T152" s="847">
        <v>1</v>
      </c>
      <c r="U152" s="752">
        <f>+F152</f>
        <v>0.5</v>
      </c>
      <c r="V152" s="924">
        <f t="shared" si="74"/>
        <v>0.5</v>
      </c>
      <c r="W152" s="743">
        <v>0.16</v>
      </c>
      <c r="X152" s="716">
        <v>0.2</v>
      </c>
      <c r="Y152" s="754"/>
      <c r="Z152" s="933"/>
      <c r="AA152" s="933"/>
      <c r="AB152" s="730" t="e">
        <f t="shared" si="63"/>
        <v>#DIV/0!</v>
      </c>
      <c r="AC152" s="934"/>
      <c r="AD152" s="935" t="e">
        <f t="shared" si="65"/>
        <v>#DIV/0!</v>
      </c>
      <c r="AE152" s="936">
        <f t="shared" si="66"/>
        <v>0</v>
      </c>
      <c r="AF152" s="936"/>
      <c r="AG152" s="936"/>
      <c r="AH152" s="734" t="e">
        <f t="shared" si="67"/>
        <v>#DIV/0!</v>
      </c>
      <c r="AI152" s="754">
        <v>76000000</v>
      </c>
      <c r="AJ152" s="969">
        <f t="shared" si="71"/>
        <v>0</v>
      </c>
      <c r="AK152" s="970">
        <f t="shared" si="68"/>
        <v>0</v>
      </c>
      <c r="AL152" s="971"/>
      <c r="AM152" s="738" t="s">
        <v>1324</v>
      </c>
      <c r="AN152" s="739" t="s">
        <v>1110</v>
      </c>
      <c r="AO152" s="740" t="s">
        <v>1611</v>
      </c>
      <c r="AP152" s="741"/>
      <c r="AQ152" s="741"/>
    </row>
    <row r="153" spans="1:43" ht="83.25" customHeight="1">
      <c r="A153" s="840" t="s">
        <v>1896</v>
      </c>
      <c r="B153" s="961" t="s">
        <v>1897</v>
      </c>
      <c r="C153" s="967">
        <v>1</v>
      </c>
      <c r="D153" s="968">
        <v>1</v>
      </c>
      <c r="E153" s="751">
        <v>1</v>
      </c>
      <c r="F153" s="732">
        <v>1</v>
      </c>
      <c r="G153" s="715"/>
      <c r="H153" s="717">
        <f t="shared" si="70"/>
        <v>1</v>
      </c>
      <c r="I153" s="717">
        <f t="shared" si="73"/>
        <v>1</v>
      </c>
      <c r="J153" s="843" t="s">
        <v>1898</v>
      </c>
      <c r="K153" s="843"/>
      <c r="L153" s="719"/>
      <c r="M153" s="720"/>
      <c r="N153" s="721"/>
      <c r="O153" s="843"/>
      <c r="P153" s="843"/>
      <c r="Q153" s="843"/>
      <c r="R153" s="722"/>
      <c r="S153" s="843"/>
      <c r="T153" s="847">
        <v>1</v>
      </c>
      <c r="U153" s="913">
        <f>SUM(E153:G153)/4</f>
        <v>0.5</v>
      </c>
      <c r="V153" s="924">
        <f t="shared" si="74"/>
        <v>0.5</v>
      </c>
      <c r="W153" s="743">
        <v>0.1</v>
      </c>
      <c r="X153" s="716">
        <v>0.1</v>
      </c>
      <c r="Y153" s="754"/>
      <c r="Z153" s="933"/>
      <c r="AA153" s="933"/>
      <c r="AB153" s="730" t="e">
        <f t="shared" si="63"/>
        <v>#DIV/0!</v>
      </c>
      <c r="AC153" s="934"/>
      <c r="AD153" s="935" t="e">
        <f t="shared" si="65"/>
        <v>#DIV/0!</v>
      </c>
      <c r="AE153" s="936">
        <f t="shared" si="66"/>
        <v>0</v>
      </c>
      <c r="AF153" s="936"/>
      <c r="AG153" s="936"/>
      <c r="AH153" s="734" t="e">
        <f t="shared" si="67"/>
        <v>#DIV/0!</v>
      </c>
      <c r="AI153" s="754">
        <v>308000000</v>
      </c>
      <c r="AJ153" s="855">
        <f t="shared" si="71"/>
        <v>0</v>
      </c>
      <c r="AK153" s="856">
        <f t="shared" si="68"/>
        <v>0</v>
      </c>
      <c r="AL153" s="859"/>
      <c r="AM153" s="738" t="s">
        <v>1324</v>
      </c>
      <c r="AN153" s="739" t="s">
        <v>1110</v>
      </c>
      <c r="AO153" s="740" t="s">
        <v>1611</v>
      </c>
      <c r="AP153" s="741"/>
      <c r="AQ153" s="741"/>
    </row>
    <row r="154" spans="1:43" s="709" customFormat="1" ht="83.25" customHeight="1">
      <c r="A154" s="687" t="s">
        <v>1899</v>
      </c>
      <c r="B154" s="688"/>
      <c r="C154" s="689"/>
      <c r="D154" s="690"/>
      <c r="E154" s="689"/>
      <c r="F154" s="691"/>
      <c r="G154" s="691"/>
      <c r="H154" s="693">
        <f>+(H157*100%)</f>
        <v>1</v>
      </c>
      <c r="I154" s="693">
        <f>+SUMPRODUCT(I155:I157,X155:X157)</f>
        <v>1</v>
      </c>
      <c r="J154" s="951"/>
      <c r="K154" s="951"/>
      <c r="L154" s="694"/>
      <c r="M154" s="688"/>
      <c r="N154" s="688"/>
      <c r="O154" s="951"/>
      <c r="P154" s="951"/>
      <c r="Q154" s="951"/>
      <c r="R154" s="770"/>
      <c r="S154" s="951"/>
      <c r="T154" s="952"/>
      <c r="U154" s="697"/>
      <c r="V154" s="676">
        <f>+SUMPRODUCT(V155:V157,W155:W157)</f>
        <v>0.59333333333333327</v>
      </c>
      <c r="W154" s="693">
        <v>0.1</v>
      </c>
      <c r="X154" s="701">
        <v>0.1</v>
      </c>
      <c r="Y154" s="699">
        <v>150000000</v>
      </c>
      <c r="Z154" s="699">
        <v>71827340</v>
      </c>
      <c r="AA154" s="699">
        <v>139976820</v>
      </c>
      <c r="AB154" s="700">
        <f t="shared" si="63"/>
        <v>0.93317879999999997</v>
      </c>
      <c r="AC154" s="699">
        <v>41976820</v>
      </c>
      <c r="AD154" s="838">
        <f t="shared" si="65"/>
        <v>0.27984546666666665</v>
      </c>
      <c r="AE154" s="927">
        <f t="shared" si="66"/>
        <v>98000000</v>
      </c>
      <c r="AF154" s="927">
        <v>70000000</v>
      </c>
      <c r="AG154" s="927">
        <v>0</v>
      </c>
      <c r="AH154" s="703">
        <f t="shared" si="67"/>
        <v>0</v>
      </c>
      <c r="AI154" s="699">
        <f>SUM(AI155:AI157)</f>
        <v>600000000</v>
      </c>
      <c r="AJ154" s="699">
        <f>+SUM(Z154:AA154)</f>
        <v>211804160</v>
      </c>
      <c r="AK154" s="838">
        <f t="shared" si="68"/>
        <v>0.35300693333333333</v>
      </c>
      <c r="AL154" s="834"/>
      <c r="AM154" s="705" t="s">
        <v>1324</v>
      </c>
      <c r="AN154" s="706"/>
      <c r="AO154" s="707"/>
      <c r="AP154" s="708"/>
      <c r="AQ154" s="708"/>
    </row>
    <row r="155" spans="1:43" ht="111.75" customHeight="1">
      <c r="A155" s="710" t="s">
        <v>1900</v>
      </c>
      <c r="B155" s="953" t="s">
        <v>1901</v>
      </c>
      <c r="C155" s="954">
        <v>0</v>
      </c>
      <c r="D155" s="955">
        <v>2</v>
      </c>
      <c r="E155" s="714">
        <v>0</v>
      </c>
      <c r="F155" s="715">
        <v>2</v>
      </c>
      <c r="G155" s="715"/>
      <c r="H155" s="717" t="s">
        <v>1536</v>
      </c>
      <c r="I155" s="717">
        <f>IF(F155/D155&gt;=100%,100%,F155/D155)</f>
        <v>1</v>
      </c>
      <c r="J155" s="956" t="s">
        <v>1902</v>
      </c>
      <c r="K155" s="956"/>
      <c r="L155" s="719"/>
      <c r="M155" s="720"/>
      <c r="N155" s="721"/>
      <c r="O155" s="956"/>
      <c r="P155" s="956"/>
      <c r="Q155" s="956"/>
      <c r="R155" s="722"/>
      <c r="S155" s="956"/>
      <c r="T155" s="957">
        <v>3</v>
      </c>
      <c r="U155" s="725">
        <f>SUM(E155:F155)</f>
        <v>2</v>
      </c>
      <c r="V155" s="922">
        <f>IF(U155/T155&gt;=100%,100%,U155/T155)</f>
        <v>0.66666666666666663</v>
      </c>
      <c r="W155" s="743">
        <v>0.32</v>
      </c>
      <c r="X155" s="716">
        <v>0.3</v>
      </c>
      <c r="Y155" s="754"/>
      <c r="Z155" s="933"/>
      <c r="AA155" s="933"/>
      <c r="AB155" s="730" t="e">
        <f t="shared" si="63"/>
        <v>#DIV/0!</v>
      </c>
      <c r="AC155" s="934"/>
      <c r="AD155" s="935" t="e">
        <f t="shared" si="65"/>
        <v>#DIV/0!</v>
      </c>
      <c r="AE155" s="936">
        <f t="shared" si="66"/>
        <v>0</v>
      </c>
      <c r="AF155" s="936"/>
      <c r="AG155" s="936"/>
      <c r="AH155" s="734" t="e">
        <f t="shared" si="67"/>
        <v>#DIV/0!</v>
      </c>
      <c r="AI155" s="754">
        <v>250000000</v>
      </c>
      <c r="AJ155" s="849">
        <f t="shared" si="71"/>
        <v>0</v>
      </c>
      <c r="AK155" s="850">
        <f t="shared" si="68"/>
        <v>0</v>
      </c>
      <c r="AL155" s="845"/>
      <c r="AM155" s="738" t="s">
        <v>1324</v>
      </c>
      <c r="AN155" s="739" t="s">
        <v>772</v>
      </c>
      <c r="AO155" s="1273" t="s">
        <v>1611</v>
      </c>
      <c r="AP155" s="741"/>
      <c r="AQ155" s="741"/>
    </row>
    <row r="156" spans="1:43" ht="83.25" customHeight="1">
      <c r="A156" s="710" t="s">
        <v>1903</v>
      </c>
      <c r="B156" s="958" t="s">
        <v>1904</v>
      </c>
      <c r="C156" s="954">
        <v>0</v>
      </c>
      <c r="D156" s="955">
        <v>1</v>
      </c>
      <c r="E156" s="714">
        <v>0</v>
      </c>
      <c r="F156" s="715">
        <v>1</v>
      </c>
      <c r="G156" s="715"/>
      <c r="H156" s="717" t="s">
        <v>1536</v>
      </c>
      <c r="I156" s="717">
        <f>IF(F156/D156&gt;=100%,100%,F156/D156)</f>
        <v>1</v>
      </c>
      <c r="J156" s="956" t="s">
        <v>1905</v>
      </c>
      <c r="K156" s="956"/>
      <c r="L156" s="719"/>
      <c r="M156" s="720"/>
      <c r="N156" s="721"/>
      <c r="O156" s="956"/>
      <c r="P156" s="956"/>
      <c r="Q156" s="956"/>
      <c r="R156" s="722"/>
      <c r="S156" s="956"/>
      <c r="T156" s="957">
        <v>1</v>
      </c>
      <c r="U156" s="725">
        <f>SUM(E156:F156)</f>
        <v>1</v>
      </c>
      <c r="V156" s="922">
        <f>IF(U156/T156&gt;=100%,100%,U156/T156)</f>
        <v>1</v>
      </c>
      <c r="W156" s="743">
        <v>0.08</v>
      </c>
      <c r="X156" s="716">
        <v>0.3</v>
      </c>
      <c r="Y156" s="754"/>
      <c r="Z156" s="933"/>
      <c r="AA156" s="933"/>
      <c r="AB156" s="730" t="e">
        <f t="shared" si="63"/>
        <v>#DIV/0!</v>
      </c>
      <c r="AC156" s="934"/>
      <c r="AD156" s="935" t="e">
        <f t="shared" si="65"/>
        <v>#DIV/0!</v>
      </c>
      <c r="AE156" s="936">
        <f t="shared" si="66"/>
        <v>0</v>
      </c>
      <c r="AF156" s="936"/>
      <c r="AG156" s="936"/>
      <c r="AH156" s="734" t="e">
        <f t="shared" si="67"/>
        <v>#DIV/0!</v>
      </c>
      <c r="AI156" s="754">
        <v>25000000</v>
      </c>
      <c r="AJ156" s="849">
        <f t="shared" si="71"/>
        <v>0</v>
      </c>
      <c r="AK156" s="850">
        <f t="shared" si="68"/>
        <v>0</v>
      </c>
      <c r="AL156" s="845"/>
      <c r="AM156" s="738" t="s">
        <v>1324</v>
      </c>
      <c r="AN156" s="739" t="s">
        <v>1110</v>
      </c>
      <c r="AO156" s="1274"/>
      <c r="AP156" s="741"/>
      <c r="AQ156" s="741"/>
    </row>
    <row r="157" spans="1:43" ht="20.25" customHeight="1" thickBot="1">
      <c r="A157" s="710" t="s">
        <v>1906</v>
      </c>
      <c r="B157" s="958" t="s">
        <v>1907</v>
      </c>
      <c r="C157" s="959">
        <v>0.1</v>
      </c>
      <c r="D157" s="960">
        <v>0.5</v>
      </c>
      <c r="E157" s="751">
        <v>0.1</v>
      </c>
      <c r="F157" s="732">
        <v>0.5</v>
      </c>
      <c r="G157" s="715"/>
      <c r="H157" s="717">
        <f t="shared" ref="H157" si="75">IF((E157+G157)/C157&gt;=100%,100%,(E157+G157)/C157)</f>
        <v>1</v>
      </c>
      <c r="I157" s="717">
        <f>IF(F157/D157&gt;=100%,100%,F157/D157)</f>
        <v>1</v>
      </c>
      <c r="J157" s="956" t="s">
        <v>1908</v>
      </c>
      <c r="K157" s="956"/>
      <c r="L157" s="719"/>
      <c r="M157" s="720"/>
      <c r="N157" s="721"/>
      <c r="O157" s="956"/>
      <c r="P157" s="956"/>
      <c r="Q157" s="956"/>
      <c r="R157" s="722"/>
      <c r="S157" s="956"/>
      <c r="T157" s="847">
        <v>1</v>
      </c>
      <c r="U157" s="752">
        <f>+F157</f>
        <v>0.5</v>
      </c>
      <c r="V157" s="924">
        <f>IF(U157/T157&gt;=100%,100%,U157/T157)</f>
        <v>0.5</v>
      </c>
      <c r="W157" s="743">
        <v>0.6</v>
      </c>
      <c r="X157" s="716">
        <v>0.4</v>
      </c>
      <c r="Y157" s="972"/>
      <c r="Z157" s="729"/>
      <c r="AA157" s="729"/>
      <c r="AB157" s="730" t="e">
        <f t="shared" si="63"/>
        <v>#DIV/0!</v>
      </c>
      <c r="AC157" s="875"/>
      <c r="AD157" s="716" t="e">
        <f t="shared" si="65"/>
        <v>#DIV/0!</v>
      </c>
      <c r="AE157" s="876">
        <f t="shared" si="66"/>
        <v>0</v>
      </c>
      <c r="AF157" s="876"/>
      <c r="AG157" s="936"/>
      <c r="AH157" s="734" t="e">
        <f t="shared" si="67"/>
        <v>#DIV/0!</v>
      </c>
      <c r="AI157" s="972">
        <v>325000000</v>
      </c>
      <c r="AJ157" s="849">
        <f t="shared" si="71"/>
        <v>0</v>
      </c>
      <c r="AK157" s="850">
        <f t="shared" si="68"/>
        <v>0</v>
      </c>
      <c r="AL157" s="845"/>
      <c r="AM157" s="738" t="s">
        <v>1324</v>
      </c>
      <c r="AN157" s="739" t="s">
        <v>1110</v>
      </c>
      <c r="AO157" s="740" t="s">
        <v>1591</v>
      </c>
      <c r="AP157" s="741"/>
      <c r="AQ157" s="741"/>
    </row>
    <row r="158" spans="1:43" ht="53.25" customHeight="1">
      <c r="A158" s="640" t="s">
        <v>1909</v>
      </c>
      <c r="B158" s="973"/>
      <c r="C158" s="974"/>
      <c r="D158" s="975"/>
      <c r="E158" s="974"/>
      <c r="F158" s="976"/>
      <c r="G158" s="976"/>
      <c r="H158" s="645">
        <f>+(H159*W159)+(H210*W210)</f>
        <v>0.98516666666666675</v>
      </c>
      <c r="I158" s="645">
        <f>+(I159*X159)+(I210*X210)</f>
        <v>0.92388892156862745</v>
      </c>
      <c r="J158" s="977"/>
      <c r="K158" s="977"/>
      <c r="L158" s="647"/>
      <c r="M158" s="648"/>
      <c r="N158" s="648"/>
      <c r="O158" s="977"/>
      <c r="P158" s="977"/>
      <c r="Q158" s="977"/>
      <c r="R158" s="978"/>
      <c r="S158" s="977"/>
      <c r="T158" s="979"/>
      <c r="U158" s="980"/>
      <c r="V158" s="814">
        <f>+(V159*W159)+(V210*W210)</f>
        <v>0.50053046365914788</v>
      </c>
      <c r="W158" s="815">
        <v>0.2</v>
      </c>
      <c r="X158" s="815">
        <v>0.2</v>
      </c>
      <c r="Y158" s="656">
        <f>+Y159+Y210</f>
        <v>5181235000</v>
      </c>
      <c r="Z158" s="656">
        <f>+Z159+Z210</f>
        <v>3895380272.6300001</v>
      </c>
      <c r="AA158" s="656">
        <f>+AA159+AA210</f>
        <v>4349498550.5499992</v>
      </c>
      <c r="AB158" s="981">
        <f t="shared" si="63"/>
        <v>0.83947139061439968</v>
      </c>
      <c r="AC158" s="982">
        <f>+AC159+AC210</f>
        <v>3888619785.5499997</v>
      </c>
      <c r="AD158" s="945">
        <f t="shared" si="65"/>
        <v>0.7505198636135979</v>
      </c>
      <c r="AE158" s="946">
        <f t="shared" si="66"/>
        <v>460878764.99999952</v>
      </c>
      <c r="AF158" s="982">
        <f>+AF159+AF210</f>
        <v>224700747</v>
      </c>
      <c r="AG158" s="982">
        <f>+AG159+AG210</f>
        <v>224700747</v>
      </c>
      <c r="AH158" s="660">
        <f t="shared" si="67"/>
        <v>1</v>
      </c>
      <c r="AI158" s="656">
        <f>+AI159+AI210</f>
        <v>19367328308</v>
      </c>
      <c r="AJ158" s="656">
        <f>+AJ159+AJ210</f>
        <v>7557307335.0499992</v>
      </c>
      <c r="AK158" s="983">
        <f t="shared" si="68"/>
        <v>0.39020907865378246</v>
      </c>
      <c r="AL158" s="984"/>
      <c r="AM158" s="821"/>
      <c r="AN158" s="822"/>
      <c r="AO158" s="823"/>
      <c r="AP158" s="985"/>
      <c r="AQ158" s="985"/>
    </row>
    <row r="159" spans="1:43" s="709" customFormat="1" ht="51">
      <c r="A159" s="666" t="s">
        <v>1910</v>
      </c>
      <c r="B159" s="783"/>
      <c r="C159" s="784"/>
      <c r="D159" s="785"/>
      <c r="E159" s="784"/>
      <c r="F159" s="786"/>
      <c r="G159" s="786"/>
      <c r="H159" s="671">
        <f>+(H160*W160)+(H174*W174)+(H185*W185)+(H193*W193)+(H201*W201)+(H205*W205)</f>
        <v>0.97033333333333349</v>
      </c>
      <c r="I159" s="671">
        <f>+(I160*X160)+(I174*X174)+(I185*X185)+(I193*X193)+(I201*X201)+(I205*X205)</f>
        <v>0.84777784313725491</v>
      </c>
      <c r="J159" s="948"/>
      <c r="K159" s="948"/>
      <c r="L159" s="787"/>
      <c r="M159" s="783"/>
      <c r="N159" s="783"/>
      <c r="O159" s="948"/>
      <c r="P159" s="948"/>
      <c r="Q159" s="948"/>
      <c r="R159" s="789"/>
      <c r="S159" s="948"/>
      <c r="T159" s="949"/>
      <c r="U159" s="792"/>
      <c r="V159" s="671">
        <f>+(V160*W160)+(V174*W174)+(V185*W185)+(V193*W193)+(V201*W201)+(V205*W205)</f>
        <v>0.50373949874686719</v>
      </c>
      <c r="W159" s="671">
        <v>0.5</v>
      </c>
      <c r="X159" s="671">
        <v>0.5</v>
      </c>
      <c r="Y159" s="678">
        <f>+Y160+Y174+Y185+Y193+Y201+Y205</f>
        <v>4818235000</v>
      </c>
      <c r="Z159" s="678">
        <f>+Z160+Z174+Z185+Z193+Z201+Z205</f>
        <v>3720469772.6300001</v>
      </c>
      <c r="AA159" s="678">
        <f>+AA160+AA174+AA185+AA193+AA201+AA205</f>
        <v>4049233834.5499997</v>
      </c>
      <c r="AB159" s="679">
        <f t="shared" si="63"/>
        <v>0.84039774617676388</v>
      </c>
      <c r="AC159" s="678">
        <f>+AC160+AC174+AC185+AC193+AC201+AC205</f>
        <v>3711280785.5499997</v>
      </c>
      <c r="AD159" s="831">
        <f t="shared" si="65"/>
        <v>0.77025732151918691</v>
      </c>
      <c r="AE159" s="950">
        <f t="shared" si="66"/>
        <v>337953049</v>
      </c>
      <c r="AF159" s="678">
        <f>+AF160+AF174+AF185+AF193+AF201+AF205</f>
        <v>224700747</v>
      </c>
      <c r="AG159" s="678">
        <f>+AG160+AG174+AG185+AG193+AG201+AG205</f>
        <v>224700747</v>
      </c>
      <c r="AH159" s="793">
        <f t="shared" si="67"/>
        <v>1</v>
      </c>
      <c r="AI159" s="678">
        <f>+AI160+AI174+AI185+AI193+AI201+AI205</f>
        <v>17667328308</v>
      </c>
      <c r="AJ159" s="678">
        <f>+AJ160+AJ174+AJ185+AJ193+AJ201+AJ205</f>
        <v>7082132119.0499992</v>
      </c>
      <c r="AK159" s="831">
        <f t="shared" si="68"/>
        <v>0.40086039018379005</v>
      </c>
      <c r="AL159" s="826"/>
      <c r="AM159" s="683" t="s">
        <v>1325</v>
      </c>
      <c r="AN159" s="684"/>
      <c r="AO159" s="685"/>
      <c r="AP159" s="833"/>
      <c r="AQ159" s="833"/>
    </row>
    <row r="160" spans="1:43" s="709" customFormat="1" ht="82.5" customHeight="1">
      <c r="A160" s="687" t="s">
        <v>1911</v>
      </c>
      <c r="B160" s="688"/>
      <c r="C160" s="689"/>
      <c r="D160" s="690"/>
      <c r="E160" s="689"/>
      <c r="F160" s="691"/>
      <c r="G160" s="691"/>
      <c r="H160" s="693">
        <f>+(H161*20%)+(H163*30%)+(H164*15%)+(H165*15%)+(H166*5%)+(H167*5%)+(H168*5%)+(H172*5%)</f>
        <v>0.99166666666666681</v>
      </c>
      <c r="I160" s="693">
        <f>+SUMPRODUCT(I161:I173,X161:X173)</f>
        <v>0.95030588235294133</v>
      </c>
      <c r="J160" s="951"/>
      <c r="K160" s="951"/>
      <c r="L160" s="694"/>
      <c r="M160" s="688"/>
      <c r="N160" s="688"/>
      <c r="O160" s="951"/>
      <c r="P160" s="951"/>
      <c r="Q160" s="951"/>
      <c r="R160" s="770"/>
      <c r="S160" s="951"/>
      <c r="T160" s="952"/>
      <c r="U160" s="697"/>
      <c r="V160" s="676">
        <f>+SUMPRODUCT(V161:V173,W161:W173)</f>
        <v>0.55057368421052644</v>
      </c>
      <c r="W160" s="693">
        <v>0.2</v>
      </c>
      <c r="X160" s="693">
        <v>0.2</v>
      </c>
      <c r="Y160" s="699">
        <v>583000000</v>
      </c>
      <c r="Z160" s="699">
        <v>300050488</v>
      </c>
      <c r="AA160" s="699">
        <v>417008278</v>
      </c>
      <c r="AB160" s="700">
        <f t="shared" si="63"/>
        <v>0.7152800651801029</v>
      </c>
      <c r="AC160" s="699">
        <v>415645489</v>
      </c>
      <c r="AD160" s="838">
        <f t="shared" si="65"/>
        <v>0.71294251972555744</v>
      </c>
      <c r="AE160" s="927">
        <f t="shared" si="66"/>
        <v>1362789</v>
      </c>
      <c r="AF160" s="927">
        <v>22610476</v>
      </c>
      <c r="AG160" s="927">
        <v>22610476</v>
      </c>
      <c r="AH160" s="703">
        <f t="shared" si="67"/>
        <v>1</v>
      </c>
      <c r="AI160" s="699">
        <f>SUM(AI161:AI173)</f>
        <v>2240000000</v>
      </c>
      <c r="AJ160" s="699">
        <f>+SUM(Z160:AA160)</f>
        <v>717058766</v>
      </c>
      <c r="AK160" s="838">
        <f t="shared" si="68"/>
        <v>0.32011552053571429</v>
      </c>
      <c r="AL160" s="834"/>
      <c r="AM160" s="705" t="s">
        <v>1325</v>
      </c>
      <c r="AN160" s="706"/>
      <c r="AO160" s="707"/>
      <c r="AP160" s="708"/>
      <c r="AQ160" s="708"/>
    </row>
    <row r="161" spans="1:43" ht="83.25" customHeight="1">
      <c r="A161" s="986" t="s">
        <v>1912</v>
      </c>
      <c r="B161" s="987" t="s">
        <v>1913</v>
      </c>
      <c r="C161" s="988">
        <v>1</v>
      </c>
      <c r="D161" s="989">
        <v>1</v>
      </c>
      <c r="E161" s="714">
        <v>1</v>
      </c>
      <c r="F161" s="715">
        <v>1</v>
      </c>
      <c r="G161" s="715"/>
      <c r="H161" s="717">
        <f t="shared" ref="H161" si="76">IF((E161+G161)/C161&gt;=100%,100%,(E161+G161)/C161)</f>
        <v>1</v>
      </c>
      <c r="I161" s="717">
        <f>IF(F161/D161&gt;=100%,100%,F161/D161)</f>
        <v>1</v>
      </c>
      <c r="J161" s="956" t="s">
        <v>1914</v>
      </c>
      <c r="K161" s="956"/>
      <c r="L161" s="719"/>
      <c r="M161" s="720"/>
      <c r="N161" s="721"/>
      <c r="O161" s="956"/>
      <c r="P161" s="956"/>
      <c r="Q161" s="956"/>
      <c r="R161" s="722"/>
      <c r="S161" s="956"/>
      <c r="T161" s="957">
        <v>4</v>
      </c>
      <c r="U161" s="725">
        <f>SUM(E161:G161)</f>
        <v>2</v>
      </c>
      <c r="V161" s="922">
        <f t="shared" ref="V161:V173" si="77">IF(U161/T161&gt;=100%,100%,U161/T161)</f>
        <v>0.5</v>
      </c>
      <c r="W161" s="743">
        <v>0.2</v>
      </c>
      <c r="X161" s="716">
        <v>0.2</v>
      </c>
      <c r="Y161" s="754"/>
      <c r="Z161" s="933"/>
      <c r="AA161" s="933"/>
      <c r="AB161" s="730" t="e">
        <f t="shared" si="63"/>
        <v>#DIV/0!</v>
      </c>
      <c r="AC161" s="934"/>
      <c r="AD161" s="935" t="e">
        <f t="shared" si="65"/>
        <v>#DIV/0!</v>
      </c>
      <c r="AE161" s="936">
        <f t="shared" si="66"/>
        <v>0</v>
      </c>
      <c r="AF161" s="936"/>
      <c r="AG161" s="936"/>
      <c r="AH161" s="734" t="e">
        <f t="shared" si="67"/>
        <v>#DIV/0!</v>
      </c>
      <c r="AI161" s="754">
        <v>310000000</v>
      </c>
      <c r="AJ161" s="849">
        <f t="shared" si="71"/>
        <v>0</v>
      </c>
      <c r="AK161" s="850">
        <f t="shared" si="68"/>
        <v>0</v>
      </c>
      <c r="AL161" s="845"/>
      <c r="AM161" s="738" t="s">
        <v>1325</v>
      </c>
      <c r="AN161" s="884"/>
      <c r="AO161" s="1264" t="s">
        <v>1591</v>
      </c>
      <c r="AP161" s="741"/>
      <c r="AQ161" s="741"/>
    </row>
    <row r="162" spans="1:43" ht="167.25" customHeight="1">
      <c r="A162" s="986" t="s">
        <v>1915</v>
      </c>
      <c r="B162" s="912" t="s">
        <v>1916</v>
      </c>
      <c r="C162" s="988">
        <v>0</v>
      </c>
      <c r="D162" s="989">
        <v>2</v>
      </c>
      <c r="E162" s="714">
        <v>0</v>
      </c>
      <c r="F162" s="715">
        <v>2</v>
      </c>
      <c r="G162" s="715"/>
      <c r="H162" s="717" t="s">
        <v>1536</v>
      </c>
      <c r="I162" s="717">
        <f t="shared" ref="I162:I173" si="78">IF(F162/D162&gt;=100%,100%,F162/D162)</f>
        <v>1</v>
      </c>
      <c r="J162" s="956" t="s">
        <v>1917</v>
      </c>
      <c r="K162" s="956"/>
      <c r="L162" s="719"/>
      <c r="M162" s="720"/>
      <c r="N162" s="721"/>
      <c r="O162" s="956"/>
      <c r="P162" s="956"/>
      <c r="Q162" s="956"/>
      <c r="R162" s="722"/>
      <c r="S162" s="956"/>
      <c r="T162" s="957">
        <v>4</v>
      </c>
      <c r="U162" s="725">
        <f>SUM(E162:G162)</f>
        <v>2</v>
      </c>
      <c r="V162" s="922">
        <f t="shared" si="77"/>
        <v>0.5</v>
      </c>
      <c r="W162" s="743">
        <v>7.0000000000000007E-2</v>
      </c>
      <c r="X162" s="716">
        <v>0.1</v>
      </c>
      <c r="Y162" s="754"/>
      <c r="Z162" s="933"/>
      <c r="AA162" s="933"/>
      <c r="AB162" s="730" t="e">
        <f t="shared" si="63"/>
        <v>#DIV/0!</v>
      </c>
      <c r="AC162" s="934"/>
      <c r="AD162" s="935" t="e">
        <f t="shared" si="65"/>
        <v>#DIV/0!</v>
      </c>
      <c r="AE162" s="936">
        <f t="shared" si="66"/>
        <v>0</v>
      </c>
      <c r="AF162" s="936"/>
      <c r="AG162" s="936"/>
      <c r="AH162" s="734" t="e">
        <f t="shared" si="67"/>
        <v>#DIV/0!</v>
      </c>
      <c r="AI162" s="754">
        <v>149000000</v>
      </c>
      <c r="AJ162" s="849">
        <f t="shared" si="71"/>
        <v>0</v>
      </c>
      <c r="AK162" s="850">
        <f t="shared" si="68"/>
        <v>0</v>
      </c>
      <c r="AL162" s="845"/>
      <c r="AM162" s="738" t="s">
        <v>1325</v>
      </c>
      <c r="AN162" s="884"/>
      <c r="AO162" s="1266"/>
      <c r="AP162" s="741"/>
      <c r="AQ162" s="741"/>
    </row>
    <row r="163" spans="1:43" ht="63.75" customHeight="1">
      <c r="A163" s="710" t="s">
        <v>1918</v>
      </c>
      <c r="B163" s="912" t="s">
        <v>1919</v>
      </c>
      <c r="C163" s="990">
        <v>0.2</v>
      </c>
      <c r="D163" s="991">
        <v>0.8</v>
      </c>
      <c r="E163" s="751">
        <v>0.1</v>
      </c>
      <c r="F163" s="732">
        <v>0.8</v>
      </c>
      <c r="G163" s="993">
        <v>0.1</v>
      </c>
      <c r="H163" s="717">
        <f>IF((E163+G163)/C163&gt;=100%,100%,(E163+G163)/C163)</f>
        <v>1</v>
      </c>
      <c r="I163" s="717">
        <f t="shared" si="78"/>
        <v>1</v>
      </c>
      <c r="J163" s="956" t="s">
        <v>1920</v>
      </c>
      <c r="K163" s="956"/>
      <c r="L163" s="719"/>
      <c r="M163" s="720"/>
      <c r="N163" s="721"/>
      <c r="O163" s="956"/>
      <c r="P163" s="956"/>
      <c r="Q163" s="956"/>
      <c r="R163" s="722"/>
      <c r="S163" s="956"/>
      <c r="T163" s="847">
        <v>1</v>
      </c>
      <c r="U163" s="752">
        <f>+F163</f>
        <v>0.8</v>
      </c>
      <c r="V163" s="924">
        <f t="shared" si="77"/>
        <v>0.8</v>
      </c>
      <c r="W163" s="743">
        <v>0.22</v>
      </c>
      <c r="X163" s="716">
        <v>0.3</v>
      </c>
      <c r="Y163" s="754"/>
      <c r="Z163" s="933"/>
      <c r="AA163" s="933"/>
      <c r="AB163" s="730" t="e">
        <f t="shared" si="63"/>
        <v>#DIV/0!</v>
      </c>
      <c r="AC163" s="934"/>
      <c r="AD163" s="935" t="e">
        <f t="shared" si="65"/>
        <v>#DIV/0!</v>
      </c>
      <c r="AE163" s="936">
        <f t="shared" si="66"/>
        <v>0</v>
      </c>
      <c r="AF163" s="936"/>
      <c r="AG163" s="936"/>
      <c r="AH163" s="734" t="e">
        <f t="shared" si="67"/>
        <v>#DIV/0!</v>
      </c>
      <c r="AI163" s="754">
        <v>107000000</v>
      </c>
      <c r="AJ163" s="849">
        <f t="shared" si="71"/>
        <v>0</v>
      </c>
      <c r="AK163" s="850">
        <f t="shared" si="68"/>
        <v>0</v>
      </c>
      <c r="AL163" s="845"/>
      <c r="AM163" s="738" t="s">
        <v>1325</v>
      </c>
      <c r="AN163" s="884"/>
      <c r="AO163" s="740" t="s">
        <v>1591</v>
      </c>
      <c r="AP163" s="741"/>
      <c r="AQ163" s="741"/>
    </row>
    <row r="164" spans="1:43" ht="63.75" customHeight="1">
      <c r="A164" s="710" t="s">
        <v>1921</v>
      </c>
      <c r="B164" s="912" t="s">
        <v>1922</v>
      </c>
      <c r="C164" s="990">
        <v>0.2</v>
      </c>
      <c r="D164" s="991">
        <v>0.5</v>
      </c>
      <c r="E164" s="751">
        <v>0.2</v>
      </c>
      <c r="F164" s="732">
        <v>0.5</v>
      </c>
      <c r="G164" s="715"/>
      <c r="H164" s="717">
        <f t="shared" ref="H164:H167" si="79">IF((E164+G164)/C164&gt;=100%,100%,(E164+G164)/C164)</f>
        <v>1</v>
      </c>
      <c r="I164" s="717">
        <f t="shared" si="78"/>
        <v>1</v>
      </c>
      <c r="J164" s="992" t="s">
        <v>1923</v>
      </c>
      <c r="K164" s="956"/>
      <c r="L164" s="719"/>
      <c r="M164" s="720"/>
      <c r="N164" s="721"/>
      <c r="O164" s="956"/>
      <c r="P164" s="956"/>
      <c r="Q164" s="956"/>
      <c r="R164" s="722"/>
      <c r="S164" s="956"/>
      <c r="T164" s="847">
        <v>1</v>
      </c>
      <c r="U164" s="752">
        <f>+F164</f>
        <v>0.5</v>
      </c>
      <c r="V164" s="924">
        <f t="shared" si="77"/>
        <v>0.5</v>
      </c>
      <c r="W164" s="743">
        <v>0.09</v>
      </c>
      <c r="X164" s="716">
        <v>0.1</v>
      </c>
      <c r="Y164" s="754"/>
      <c r="Z164" s="933"/>
      <c r="AA164" s="933"/>
      <c r="AB164" s="730" t="e">
        <f t="shared" si="63"/>
        <v>#DIV/0!</v>
      </c>
      <c r="AC164" s="934"/>
      <c r="AD164" s="935" t="e">
        <f t="shared" si="65"/>
        <v>#DIV/0!</v>
      </c>
      <c r="AE164" s="936">
        <f t="shared" si="66"/>
        <v>0</v>
      </c>
      <c r="AF164" s="936"/>
      <c r="AG164" s="936"/>
      <c r="AH164" s="734" t="e">
        <f t="shared" si="67"/>
        <v>#DIV/0!</v>
      </c>
      <c r="AI164" s="754">
        <v>142000000</v>
      </c>
      <c r="AJ164" s="849">
        <f t="shared" si="71"/>
        <v>0</v>
      </c>
      <c r="AK164" s="850">
        <f t="shared" si="68"/>
        <v>0</v>
      </c>
      <c r="AL164" s="845"/>
      <c r="AM164" s="738" t="s">
        <v>1325</v>
      </c>
      <c r="AN164" s="884"/>
      <c r="AO164" s="740" t="s">
        <v>1591</v>
      </c>
      <c r="AP164" s="741"/>
      <c r="AQ164" s="741"/>
    </row>
    <row r="165" spans="1:43" ht="102.75" customHeight="1">
      <c r="A165" s="710" t="s">
        <v>1924</v>
      </c>
      <c r="B165" s="912" t="s">
        <v>1925</v>
      </c>
      <c r="C165" s="990">
        <v>1</v>
      </c>
      <c r="D165" s="991">
        <v>1</v>
      </c>
      <c r="E165" s="751">
        <v>1</v>
      </c>
      <c r="F165" s="732">
        <v>1</v>
      </c>
      <c r="G165" s="715"/>
      <c r="H165" s="717">
        <f t="shared" si="79"/>
        <v>1</v>
      </c>
      <c r="I165" s="717">
        <f t="shared" si="78"/>
        <v>1</v>
      </c>
      <c r="J165" s="992" t="s">
        <v>1926</v>
      </c>
      <c r="K165" s="956"/>
      <c r="L165" s="719"/>
      <c r="M165" s="720"/>
      <c r="N165" s="721"/>
      <c r="O165" s="956"/>
      <c r="P165" s="956"/>
      <c r="Q165" s="956"/>
      <c r="R165" s="722"/>
      <c r="S165" s="956"/>
      <c r="T165" s="847">
        <v>1</v>
      </c>
      <c r="U165" s="913">
        <f>SUM(E165:G165)/4</f>
        <v>0.5</v>
      </c>
      <c r="V165" s="924">
        <f t="shared" si="77"/>
        <v>0.5</v>
      </c>
      <c r="W165" s="743">
        <v>0.19</v>
      </c>
      <c r="X165" s="716">
        <v>0.1</v>
      </c>
      <c r="Y165" s="754"/>
      <c r="Z165" s="933"/>
      <c r="AA165" s="933"/>
      <c r="AB165" s="730" t="e">
        <f t="shared" si="63"/>
        <v>#DIV/0!</v>
      </c>
      <c r="AC165" s="934"/>
      <c r="AD165" s="935" t="e">
        <f t="shared" si="65"/>
        <v>#DIV/0!</v>
      </c>
      <c r="AE165" s="936">
        <f t="shared" si="66"/>
        <v>0</v>
      </c>
      <c r="AF165" s="936"/>
      <c r="AG165" s="936"/>
      <c r="AH165" s="734" t="e">
        <f t="shared" si="67"/>
        <v>#DIV/0!</v>
      </c>
      <c r="AI165" s="754">
        <v>325000000</v>
      </c>
      <c r="AJ165" s="849">
        <f t="shared" si="71"/>
        <v>0</v>
      </c>
      <c r="AK165" s="850">
        <f t="shared" si="68"/>
        <v>0</v>
      </c>
      <c r="AL165" s="845"/>
      <c r="AM165" s="738" t="s">
        <v>1325</v>
      </c>
      <c r="AN165" s="884"/>
      <c r="AO165" s="1264" t="s">
        <v>1591</v>
      </c>
      <c r="AP165" s="741"/>
      <c r="AQ165" s="741"/>
    </row>
    <row r="166" spans="1:43" ht="67.5" customHeight="1">
      <c r="A166" s="745" t="s">
        <v>1927</v>
      </c>
      <c r="B166" s="912" t="s">
        <v>1928</v>
      </c>
      <c r="C166" s="990">
        <v>0.75</v>
      </c>
      <c r="D166" s="991">
        <v>0.85</v>
      </c>
      <c r="E166" s="751">
        <v>0.625</v>
      </c>
      <c r="F166" s="732">
        <v>0.7</v>
      </c>
      <c r="G166" s="993"/>
      <c r="H166" s="801">
        <f>IF((E166+G166)/C166&gt;=100%,100%,(E166+G166)/C166)</f>
        <v>0.83333333333333337</v>
      </c>
      <c r="I166" s="717">
        <f>IF(F166/D166&gt;=100%,100%,F166/D166)</f>
        <v>0.82352941176470584</v>
      </c>
      <c r="J166" s="992" t="s">
        <v>1929</v>
      </c>
      <c r="K166" s="956"/>
      <c r="L166" s="719"/>
      <c r="M166" s="720"/>
      <c r="N166" s="721"/>
      <c r="O166" s="956"/>
      <c r="P166" s="956"/>
      <c r="Q166" s="956"/>
      <c r="R166" s="722"/>
      <c r="S166" s="956"/>
      <c r="T166" s="847">
        <v>0.95</v>
      </c>
      <c r="U166" s="752">
        <f>+F166</f>
        <v>0.7</v>
      </c>
      <c r="V166" s="924">
        <f t="shared" si="77"/>
        <v>0.73684210526315785</v>
      </c>
      <c r="W166" s="743">
        <v>0.04</v>
      </c>
      <c r="X166" s="716">
        <v>0.03</v>
      </c>
      <c r="Y166" s="754"/>
      <c r="Z166" s="933"/>
      <c r="AA166" s="933"/>
      <c r="AB166" s="730" t="e">
        <f t="shared" si="63"/>
        <v>#DIV/0!</v>
      </c>
      <c r="AC166" s="934"/>
      <c r="AD166" s="935" t="e">
        <f t="shared" si="65"/>
        <v>#DIV/0!</v>
      </c>
      <c r="AE166" s="936">
        <f t="shared" si="66"/>
        <v>0</v>
      </c>
      <c r="AF166" s="936"/>
      <c r="AG166" s="936"/>
      <c r="AH166" s="734" t="e">
        <f t="shared" si="67"/>
        <v>#DIV/0!</v>
      </c>
      <c r="AI166" s="754">
        <v>222000000</v>
      </c>
      <c r="AJ166" s="849">
        <f t="shared" si="71"/>
        <v>0</v>
      </c>
      <c r="AK166" s="850">
        <f t="shared" si="68"/>
        <v>0</v>
      </c>
      <c r="AL166" s="845"/>
      <c r="AM166" s="738" t="s">
        <v>1325</v>
      </c>
      <c r="AN166" s="884"/>
      <c r="AO166" s="1265"/>
      <c r="AP166" s="741"/>
      <c r="AQ166" s="741"/>
    </row>
    <row r="167" spans="1:43" ht="97.5" customHeight="1">
      <c r="A167" s="745" t="s">
        <v>1930</v>
      </c>
      <c r="B167" s="912" t="s">
        <v>1931</v>
      </c>
      <c r="C167" s="990">
        <v>1</v>
      </c>
      <c r="D167" s="991">
        <v>1</v>
      </c>
      <c r="E167" s="732">
        <v>1</v>
      </c>
      <c r="F167" s="732">
        <v>1</v>
      </c>
      <c r="G167" s="715"/>
      <c r="H167" s="717">
        <f t="shared" si="79"/>
        <v>1</v>
      </c>
      <c r="I167" s="717">
        <f t="shared" si="78"/>
        <v>1</v>
      </c>
      <c r="J167" s="956" t="s">
        <v>1932</v>
      </c>
      <c r="K167" s="956"/>
      <c r="L167" s="719"/>
      <c r="M167" s="720"/>
      <c r="N167" s="721"/>
      <c r="O167" s="956"/>
      <c r="P167" s="956"/>
      <c r="Q167" s="956"/>
      <c r="R167" s="722"/>
      <c r="S167" s="956"/>
      <c r="T167" s="847">
        <v>1</v>
      </c>
      <c r="U167" s="913">
        <f>SUM(E167:G167)/4</f>
        <v>0.5</v>
      </c>
      <c r="V167" s="924">
        <f t="shared" si="77"/>
        <v>0.5</v>
      </c>
      <c r="W167" s="743">
        <v>0.03</v>
      </c>
      <c r="X167" s="716">
        <v>0.02</v>
      </c>
      <c r="Y167" s="754"/>
      <c r="Z167" s="933"/>
      <c r="AA167" s="933"/>
      <c r="AB167" s="730" t="e">
        <f t="shared" si="63"/>
        <v>#DIV/0!</v>
      </c>
      <c r="AC167" s="934"/>
      <c r="AD167" s="935" t="e">
        <f t="shared" si="65"/>
        <v>#DIV/0!</v>
      </c>
      <c r="AE167" s="936">
        <f t="shared" si="66"/>
        <v>0</v>
      </c>
      <c r="AF167" s="936"/>
      <c r="AG167" s="936"/>
      <c r="AH167" s="734" t="e">
        <f t="shared" si="67"/>
        <v>#DIV/0!</v>
      </c>
      <c r="AI167" s="754">
        <v>135000000</v>
      </c>
      <c r="AJ167" s="849">
        <f t="shared" si="71"/>
        <v>0</v>
      </c>
      <c r="AK167" s="850">
        <f t="shared" si="68"/>
        <v>0</v>
      </c>
      <c r="AL167" s="845"/>
      <c r="AM167" s="738" t="s">
        <v>1325</v>
      </c>
      <c r="AN167" s="884"/>
      <c r="AO167" s="1266"/>
      <c r="AP167" s="741"/>
      <c r="AQ167" s="741"/>
    </row>
    <row r="168" spans="1:43" ht="51">
      <c r="A168" s="745" t="s">
        <v>1933</v>
      </c>
      <c r="B168" s="912" t="s">
        <v>1934</v>
      </c>
      <c r="C168" s="994">
        <v>0.3</v>
      </c>
      <c r="D168" s="995">
        <v>0.7</v>
      </c>
      <c r="E168" s="916">
        <v>0.1</v>
      </c>
      <c r="F168" s="996">
        <v>1</v>
      </c>
      <c r="G168" s="916">
        <v>0.2</v>
      </c>
      <c r="H168" s="801">
        <f>IF((E168+G168)/C168&gt;=100%,100%,(E168+G168)/C168)</f>
        <v>1</v>
      </c>
      <c r="I168" s="717">
        <f t="shared" si="78"/>
        <v>1</v>
      </c>
      <c r="J168" s="956" t="s">
        <v>1935</v>
      </c>
      <c r="K168" s="956"/>
      <c r="L168" s="719"/>
      <c r="M168" s="720"/>
      <c r="N168" s="721"/>
      <c r="O168" s="956"/>
      <c r="P168" s="956"/>
      <c r="Q168" s="956"/>
      <c r="R168" s="722"/>
      <c r="S168" s="956"/>
      <c r="T168" s="957">
        <v>1</v>
      </c>
      <c r="U168" s="725">
        <f>SUM(E168:G168)</f>
        <v>1.3</v>
      </c>
      <c r="V168" s="922">
        <f t="shared" si="77"/>
        <v>1</v>
      </c>
      <c r="W168" s="743">
        <v>0.02</v>
      </c>
      <c r="X168" s="716">
        <v>0.03</v>
      </c>
      <c r="Y168" s="754"/>
      <c r="Z168" s="933"/>
      <c r="AA168" s="933"/>
      <c r="AB168" s="730" t="e">
        <f t="shared" si="63"/>
        <v>#DIV/0!</v>
      </c>
      <c r="AC168" s="934"/>
      <c r="AD168" s="935" t="e">
        <f t="shared" si="65"/>
        <v>#DIV/0!</v>
      </c>
      <c r="AE168" s="936">
        <f t="shared" si="66"/>
        <v>0</v>
      </c>
      <c r="AF168" s="936"/>
      <c r="AG168" s="936"/>
      <c r="AH168" s="734" t="e">
        <f t="shared" si="67"/>
        <v>#DIV/0!</v>
      </c>
      <c r="AI168" s="754">
        <v>120000000</v>
      </c>
      <c r="AJ168" s="849">
        <f t="shared" si="71"/>
        <v>0</v>
      </c>
      <c r="AK168" s="850">
        <f t="shared" si="68"/>
        <v>0</v>
      </c>
      <c r="AL168" s="845"/>
      <c r="AM168" s="738" t="s">
        <v>1325</v>
      </c>
      <c r="AN168" s="884"/>
      <c r="AO168" s="1264" t="s">
        <v>1591</v>
      </c>
      <c r="AP168" s="741"/>
      <c r="AQ168" s="741"/>
    </row>
    <row r="169" spans="1:43" ht="51">
      <c r="A169" s="745" t="s">
        <v>1936</v>
      </c>
      <c r="B169" s="912" t="s">
        <v>1937</v>
      </c>
      <c r="C169" s="988">
        <v>0</v>
      </c>
      <c r="D169" s="989">
        <v>1</v>
      </c>
      <c r="E169" s="714">
        <v>0</v>
      </c>
      <c r="F169" s="715">
        <v>0.28000000000000003</v>
      </c>
      <c r="G169" s="715"/>
      <c r="H169" s="717" t="s">
        <v>1536</v>
      </c>
      <c r="I169" s="717">
        <f t="shared" si="78"/>
        <v>0.28000000000000003</v>
      </c>
      <c r="J169" s="956" t="s">
        <v>1938</v>
      </c>
      <c r="K169" s="956"/>
      <c r="L169" s="719"/>
      <c r="M169" s="720"/>
      <c r="N169" s="721"/>
      <c r="O169" s="956"/>
      <c r="P169" s="956"/>
      <c r="Q169" s="956"/>
      <c r="R169" s="722"/>
      <c r="S169" s="956"/>
      <c r="T169" s="957">
        <v>1</v>
      </c>
      <c r="U169" s="725">
        <f t="shared" ref="U169:U173" si="80">SUM(E169:G169)</f>
        <v>0.28000000000000003</v>
      </c>
      <c r="V169" s="922">
        <f t="shared" si="77"/>
        <v>0.28000000000000003</v>
      </c>
      <c r="W169" s="743">
        <v>0.02</v>
      </c>
      <c r="X169" s="716">
        <v>0.02</v>
      </c>
      <c r="Y169" s="754"/>
      <c r="Z169" s="933"/>
      <c r="AA169" s="933"/>
      <c r="AB169" s="730" t="e">
        <f t="shared" si="63"/>
        <v>#DIV/0!</v>
      </c>
      <c r="AC169" s="934"/>
      <c r="AD169" s="935" t="e">
        <f t="shared" si="65"/>
        <v>#DIV/0!</v>
      </c>
      <c r="AE169" s="936">
        <f t="shared" si="66"/>
        <v>0</v>
      </c>
      <c r="AF169" s="936"/>
      <c r="AG169" s="936"/>
      <c r="AH169" s="734" t="e">
        <f t="shared" si="67"/>
        <v>#DIV/0!</v>
      </c>
      <c r="AI169" s="754">
        <v>30000000</v>
      </c>
      <c r="AJ169" s="849">
        <f t="shared" si="71"/>
        <v>0</v>
      </c>
      <c r="AK169" s="850">
        <f t="shared" si="68"/>
        <v>0</v>
      </c>
      <c r="AL169" s="845"/>
      <c r="AM169" s="738" t="s">
        <v>1325</v>
      </c>
      <c r="AN169" s="884"/>
      <c r="AO169" s="1265"/>
      <c r="AP169" s="741"/>
      <c r="AQ169" s="741"/>
    </row>
    <row r="170" spans="1:43" ht="51">
      <c r="A170" s="745" t="s">
        <v>1939</v>
      </c>
      <c r="B170" s="912" t="s">
        <v>1940</v>
      </c>
      <c r="C170" s="988">
        <v>0</v>
      </c>
      <c r="D170" s="989">
        <v>0</v>
      </c>
      <c r="E170" s="714">
        <v>0</v>
      </c>
      <c r="F170" s="715"/>
      <c r="G170" s="715"/>
      <c r="H170" s="717"/>
      <c r="I170" s="761">
        <v>0</v>
      </c>
      <c r="J170" s="956"/>
      <c r="K170" s="956"/>
      <c r="L170" s="719"/>
      <c r="M170" s="720"/>
      <c r="N170" s="721"/>
      <c r="O170" s="956"/>
      <c r="P170" s="956"/>
      <c r="Q170" s="956"/>
      <c r="R170" s="722"/>
      <c r="S170" s="956"/>
      <c r="T170" s="957">
        <v>1</v>
      </c>
      <c r="U170" s="725">
        <f t="shared" si="80"/>
        <v>0</v>
      </c>
      <c r="V170" s="922">
        <f t="shared" si="77"/>
        <v>0</v>
      </c>
      <c r="W170" s="743">
        <v>0.02</v>
      </c>
      <c r="X170" s="716">
        <v>0</v>
      </c>
      <c r="Y170" s="768"/>
      <c r="Z170" s="933"/>
      <c r="AA170" s="933"/>
      <c r="AB170" s="730" t="e">
        <f t="shared" si="63"/>
        <v>#DIV/0!</v>
      </c>
      <c r="AC170" s="934"/>
      <c r="AD170" s="935" t="e">
        <f t="shared" si="65"/>
        <v>#DIV/0!</v>
      </c>
      <c r="AE170" s="936">
        <f t="shared" si="66"/>
        <v>0</v>
      </c>
      <c r="AF170" s="936"/>
      <c r="AG170" s="936"/>
      <c r="AH170" s="734" t="e">
        <f t="shared" si="67"/>
        <v>#DIV/0!</v>
      </c>
      <c r="AI170" s="768">
        <v>20000000</v>
      </c>
      <c r="AJ170" s="849">
        <f t="shared" si="71"/>
        <v>0</v>
      </c>
      <c r="AK170" s="850">
        <f t="shared" si="68"/>
        <v>0</v>
      </c>
      <c r="AL170" s="845"/>
      <c r="AM170" s="738" t="s">
        <v>1325</v>
      </c>
      <c r="AN170" s="884"/>
      <c r="AO170" s="1265"/>
      <c r="AP170" s="741"/>
      <c r="AQ170" s="741"/>
    </row>
    <row r="171" spans="1:43" ht="51.75" customHeight="1">
      <c r="A171" s="745" t="s">
        <v>1941</v>
      </c>
      <c r="B171" s="860" t="s">
        <v>1942</v>
      </c>
      <c r="C171" s="994">
        <v>0</v>
      </c>
      <c r="D171" s="995">
        <v>0</v>
      </c>
      <c r="E171" s="714">
        <v>0</v>
      </c>
      <c r="F171" s="715"/>
      <c r="G171" s="715"/>
      <c r="H171" s="717">
        <v>0</v>
      </c>
      <c r="I171" s="761">
        <v>0</v>
      </c>
      <c r="J171" s="956"/>
      <c r="K171" s="956"/>
      <c r="L171" s="719"/>
      <c r="M171" s="720"/>
      <c r="N171" s="721"/>
      <c r="O171" s="956"/>
      <c r="P171" s="956"/>
      <c r="Q171" s="956"/>
      <c r="R171" s="722"/>
      <c r="S171" s="956"/>
      <c r="T171" s="957">
        <v>1</v>
      </c>
      <c r="U171" s="725">
        <f t="shared" si="80"/>
        <v>0</v>
      </c>
      <c r="V171" s="922">
        <f t="shared" si="77"/>
        <v>0</v>
      </c>
      <c r="W171" s="743">
        <v>0.01</v>
      </c>
      <c r="X171" s="716">
        <v>0</v>
      </c>
      <c r="Y171" s="768"/>
      <c r="Z171" s="933"/>
      <c r="AA171" s="933"/>
      <c r="AB171" s="730" t="e">
        <f t="shared" si="63"/>
        <v>#DIV/0!</v>
      </c>
      <c r="AC171" s="934"/>
      <c r="AD171" s="935" t="e">
        <f t="shared" si="65"/>
        <v>#DIV/0!</v>
      </c>
      <c r="AE171" s="936">
        <f t="shared" si="66"/>
        <v>0</v>
      </c>
      <c r="AF171" s="936"/>
      <c r="AG171" s="936"/>
      <c r="AH171" s="734" t="e">
        <f t="shared" si="67"/>
        <v>#DIV/0!</v>
      </c>
      <c r="AI171" s="768">
        <v>100000000</v>
      </c>
      <c r="AJ171" s="849">
        <f t="shared" si="71"/>
        <v>0</v>
      </c>
      <c r="AK171" s="850">
        <f t="shared" si="68"/>
        <v>0</v>
      </c>
      <c r="AL171" s="845"/>
      <c r="AM171" s="738" t="s">
        <v>1325</v>
      </c>
      <c r="AN171" s="884"/>
      <c r="AO171" s="1266"/>
      <c r="AP171" s="741"/>
      <c r="AQ171" s="741"/>
    </row>
    <row r="172" spans="1:43" ht="90" customHeight="1">
      <c r="A172" s="997" t="s">
        <v>1943</v>
      </c>
      <c r="B172" s="860" t="s">
        <v>1944</v>
      </c>
      <c r="C172" s="998">
        <v>0.1</v>
      </c>
      <c r="D172" s="999">
        <v>0.5</v>
      </c>
      <c r="E172" s="751">
        <v>0.1</v>
      </c>
      <c r="F172" s="732">
        <v>0.45</v>
      </c>
      <c r="G172" s="715"/>
      <c r="H172" s="717">
        <f t="shared" ref="H172" si="81">IF((E172+G172)/C172&gt;=100%,100%,(E172+G172)/C172)</f>
        <v>1</v>
      </c>
      <c r="I172" s="717">
        <f t="shared" si="78"/>
        <v>0.9</v>
      </c>
      <c r="J172" s="956" t="s">
        <v>1945</v>
      </c>
      <c r="K172" s="956"/>
      <c r="L172" s="719"/>
      <c r="M172" s="720"/>
      <c r="N172" s="721"/>
      <c r="O172" s="956"/>
      <c r="P172" s="956"/>
      <c r="Q172" s="956"/>
      <c r="R172" s="722"/>
      <c r="S172" s="956"/>
      <c r="T172" s="847">
        <v>1</v>
      </c>
      <c r="U172" s="752">
        <f t="shared" si="80"/>
        <v>0.55000000000000004</v>
      </c>
      <c r="V172" s="922">
        <f t="shared" si="77"/>
        <v>0.55000000000000004</v>
      </c>
      <c r="W172" s="743">
        <v>0.05</v>
      </c>
      <c r="X172" s="716">
        <v>0.05</v>
      </c>
      <c r="Y172" s="768"/>
      <c r="Z172" s="933"/>
      <c r="AA172" s="933"/>
      <c r="AB172" s="730" t="e">
        <f t="shared" si="63"/>
        <v>#DIV/0!</v>
      </c>
      <c r="AC172" s="934"/>
      <c r="AD172" s="935" t="e">
        <f t="shared" si="65"/>
        <v>#DIV/0!</v>
      </c>
      <c r="AE172" s="936">
        <f t="shared" si="66"/>
        <v>0</v>
      </c>
      <c r="AF172" s="936"/>
      <c r="AG172" s="936"/>
      <c r="AH172" s="734" t="e">
        <f t="shared" si="67"/>
        <v>#DIV/0!</v>
      </c>
      <c r="AI172" s="768"/>
      <c r="AJ172" s="849">
        <f t="shared" si="71"/>
        <v>0</v>
      </c>
      <c r="AK172" s="850" t="e">
        <f t="shared" si="68"/>
        <v>#DIV/0!</v>
      </c>
      <c r="AL172" s="845"/>
      <c r="AM172" s="738" t="s">
        <v>1325</v>
      </c>
      <c r="AN172" s="884"/>
      <c r="AO172" s="1264" t="s">
        <v>1591</v>
      </c>
      <c r="AP172" s="741"/>
      <c r="AQ172" s="741"/>
    </row>
    <row r="173" spans="1:43" ht="114.75">
      <c r="A173" s="840" t="s">
        <v>1946</v>
      </c>
      <c r="B173" s="860" t="s">
        <v>1947</v>
      </c>
      <c r="C173" s="998">
        <v>0</v>
      </c>
      <c r="D173" s="999">
        <v>0.1</v>
      </c>
      <c r="E173" s="751">
        <v>0</v>
      </c>
      <c r="F173" s="732">
        <v>0.05</v>
      </c>
      <c r="G173" s="715"/>
      <c r="H173" s="717" t="s">
        <v>1536</v>
      </c>
      <c r="I173" s="717">
        <f t="shared" si="78"/>
        <v>0.5</v>
      </c>
      <c r="J173" s="956" t="s">
        <v>1948</v>
      </c>
      <c r="K173" s="956"/>
      <c r="L173" s="719"/>
      <c r="M173" s="720"/>
      <c r="N173" s="721"/>
      <c r="O173" s="956"/>
      <c r="P173" s="956"/>
      <c r="Q173" s="956"/>
      <c r="R173" s="722"/>
      <c r="S173" s="956"/>
      <c r="T173" s="847">
        <v>1</v>
      </c>
      <c r="U173" s="752">
        <f t="shared" si="80"/>
        <v>0.05</v>
      </c>
      <c r="V173" s="922">
        <f t="shared" si="77"/>
        <v>0.05</v>
      </c>
      <c r="W173" s="743">
        <v>0.04</v>
      </c>
      <c r="X173" s="716">
        <v>0.05</v>
      </c>
      <c r="Y173" s="754"/>
      <c r="Z173" s="933"/>
      <c r="AA173" s="933"/>
      <c r="AB173" s="730" t="e">
        <f t="shared" si="63"/>
        <v>#DIV/0!</v>
      </c>
      <c r="AC173" s="934"/>
      <c r="AD173" s="935" t="e">
        <f t="shared" si="65"/>
        <v>#DIV/0!</v>
      </c>
      <c r="AE173" s="936">
        <f t="shared" si="66"/>
        <v>0</v>
      </c>
      <c r="AF173" s="936"/>
      <c r="AG173" s="936"/>
      <c r="AH173" s="734" t="e">
        <f t="shared" si="67"/>
        <v>#DIV/0!</v>
      </c>
      <c r="AI173" s="754">
        <v>580000000</v>
      </c>
      <c r="AJ173" s="849">
        <f t="shared" si="71"/>
        <v>0</v>
      </c>
      <c r="AK173" s="850">
        <f t="shared" si="68"/>
        <v>0</v>
      </c>
      <c r="AL173" s="845"/>
      <c r="AM173" s="738" t="s">
        <v>1325</v>
      </c>
      <c r="AN173" s="884"/>
      <c r="AO173" s="1266"/>
      <c r="AP173" s="741"/>
      <c r="AQ173" s="741"/>
    </row>
    <row r="174" spans="1:43" s="709" customFormat="1" ht="55.5" customHeight="1">
      <c r="A174" s="687" t="s">
        <v>1949</v>
      </c>
      <c r="B174" s="688"/>
      <c r="C174" s="689"/>
      <c r="D174" s="690"/>
      <c r="E174" s="689"/>
      <c r="F174" s="691"/>
      <c r="G174" s="691"/>
      <c r="H174" s="693">
        <f>+(H175*10%)+(H176*10%)+(H177*15%)+(H178*10%)+(H179*10%)+(H180*10%)+(H181*15%)+(H182*10%)+(H183*5%)+(H184*5%)</f>
        <v>0.8600000000000001</v>
      </c>
      <c r="I174" s="693">
        <f>+SUMPRODUCT(I175:I184,X175:X184)</f>
        <v>0.92608333333333337</v>
      </c>
      <c r="J174" s="951"/>
      <c r="K174" s="951"/>
      <c r="L174" s="694"/>
      <c r="M174" s="688"/>
      <c r="N174" s="688"/>
      <c r="O174" s="951"/>
      <c r="P174" s="951"/>
      <c r="Q174" s="951"/>
      <c r="R174" s="770"/>
      <c r="S174" s="951"/>
      <c r="T174" s="952"/>
      <c r="U174" s="697"/>
      <c r="V174" s="676">
        <f>+SUMPRODUCT(V175:V184,W175:W184)</f>
        <v>0.51151666666666673</v>
      </c>
      <c r="W174" s="693">
        <v>0.2</v>
      </c>
      <c r="X174" s="693">
        <v>0.2</v>
      </c>
      <c r="Y174" s="699">
        <v>689235000</v>
      </c>
      <c r="Z174" s="699">
        <v>717484797.5</v>
      </c>
      <c r="AA174" s="699">
        <v>620480252.70000005</v>
      </c>
      <c r="AB174" s="700">
        <f t="shared" si="63"/>
        <v>0.9002448405841259</v>
      </c>
      <c r="AC174" s="699">
        <v>554054640.70000005</v>
      </c>
      <c r="AD174" s="838">
        <f t="shared" si="65"/>
        <v>0.80386898619483926</v>
      </c>
      <c r="AE174" s="927">
        <f t="shared" si="66"/>
        <v>66425612</v>
      </c>
      <c r="AF174" s="927">
        <v>36260000</v>
      </c>
      <c r="AG174" s="927">
        <v>36260000</v>
      </c>
      <c r="AH174" s="703">
        <f t="shared" si="67"/>
        <v>1</v>
      </c>
      <c r="AI174" s="699">
        <f>SUM(AI175:AI184)</f>
        <v>2700000000</v>
      </c>
      <c r="AJ174" s="699">
        <f>+SUM(Z174:AA174)</f>
        <v>1337965050.2</v>
      </c>
      <c r="AK174" s="838">
        <f t="shared" si="68"/>
        <v>0.49554261118518522</v>
      </c>
      <c r="AL174" s="834"/>
      <c r="AM174" s="705" t="s">
        <v>1325</v>
      </c>
      <c r="AN174" s="706"/>
      <c r="AO174" s="707"/>
      <c r="AP174" s="708"/>
      <c r="AQ174" s="708"/>
    </row>
    <row r="175" spans="1:43" ht="279" customHeight="1">
      <c r="A175" s="745" t="s">
        <v>1950</v>
      </c>
      <c r="B175" s="860" t="s">
        <v>1951</v>
      </c>
      <c r="C175" s="1000">
        <v>0.3</v>
      </c>
      <c r="D175" s="1001">
        <v>1</v>
      </c>
      <c r="E175" s="751">
        <v>0.3</v>
      </c>
      <c r="F175" s="732">
        <v>1</v>
      </c>
      <c r="G175" s="715"/>
      <c r="H175" s="717">
        <f t="shared" ref="H175:H178" si="82">IF((E175+G175)/C175&gt;=100%,100%,(E175+G175)/C175)</f>
        <v>1</v>
      </c>
      <c r="I175" s="717">
        <f>IF(F175/D175&gt;=100%,100%,F175/D175)</f>
        <v>1</v>
      </c>
      <c r="J175" s="956" t="s">
        <v>1952</v>
      </c>
      <c r="K175" s="956"/>
      <c r="L175" s="766"/>
      <c r="M175" s="720"/>
      <c r="N175" s="721"/>
      <c r="O175" s="956"/>
      <c r="P175" s="956"/>
      <c r="Q175" s="956"/>
      <c r="R175" s="722"/>
      <c r="S175" s="956"/>
      <c r="T175" s="847">
        <v>1</v>
      </c>
      <c r="U175" s="752">
        <f>+F175</f>
        <v>1</v>
      </c>
      <c r="V175" s="922">
        <f t="shared" ref="V175:V192" si="83">IF(U175/T175&gt;=100%,100%,U175/T175)</f>
        <v>1</v>
      </c>
      <c r="W175" s="760">
        <v>0.05</v>
      </c>
      <c r="X175" s="716">
        <v>0.1</v>
      </c>
      <c r="Y175" s="754"/>
      <c r="Z175" s="849"/>
      <c r="AA175" s="849"/>
      <c r="AB175" s="730" t="e">
        <f t="shared" si="63"/>
        <v>#DIV/0!</v>
      </c>
      <c r="AC175" s="1002"/>
      <c r="AD175" s="935" t="e">
        <f t="shared" si="65"/>
        <v>#DIV/0!</v>
      </c>
      <c r="AE175" s="1003">
        <f t="shared" si="66"/>
        <v>0</v>
      </c>
      <c r="AF175" s="1003"/>
      <c r="AG175" s="1003"/>
      <c r="AH175" s="734" t="e">
        <f t="shared" si="67"/>
        <v>#DIV/0!</v>
      </c>
      <c r="AI175" s="754">
        <v>122000000</v>
      </c>
      <c r="AJ175" s="849">
        <f t="shared" si="71"/>
        <v>0</v>
      </c>
      <c r="AK175" s="1004">
        <f t="shared" si="68"/>
        <v>0</v>
      </c>
      <c r="AL175" s="843"/>
      <c r="AM175" s="1005" t="s">
        <v>1325</v>
      </c>
      <c r="AN175" s="739"/>
      <c r="AO175" s="740" t="s">
        <v>1591</v>
      </c>
      <c r="AP175" s="741"/>
      <c r="AQ175" s="741"/>
    </row>
    <row r="176" spans="1:43" ht="76.5">
      <c r="A176" s="745" t="s">
        <v>1953</v>
      </c>
      <c r="B176" s="860" t="s">
        <v>1954</v>
      </c>
      <c r="C176" s="1006">
        <v>1</v>
      </c>
      <c r="D176" s="1007">
        <v>1</v>
      </c>
      <c r="E176" s="714">
        <v>1</v>
      </c>
      <c r="F176" s="715">
        <v>1</v>
      </c>
      <c r="G176" s="715"/>
      <c r="H176" s="717">
        <f t="shared" si="82"/>
        <v>1</v>
      </c>
      <c r="I176" s="717">
        <f t="shared" ref="I176:I184" si="84">IF(F176/D176&gt;=100%,100%,F176/D176)</f>
        <v>1</v>
      </c>
      <c r="J176" s="956" t="s">
        <v>1955</v>
      </c>
      <c r="K176" s="956"/>
      <c r="L176" s="766"/>
      <c r="M176" s="720"/>
      <c r="N176" s="721"/>
      <c r="O176" s="956"/>
      <c r="P176" s="956"/>
      <c r="Q176" s="956"/>
      <c r="R176" s="722"/>
      <c r="S176" s="956"/>
      <c r="T176" s="957">
        <v>1</v>
      </c>
      <c r="U176" s="891">
        <f>SUM(E176:G176)/4</f>
        <v>0.5</v>
      </c>
      <c r="V176" s="924">
        <f t="shared" si="83"/>
        <v>0.5</v>
      </c>
      <c r="W176" s="743">
        <v>0.14000000000000001</v>
      </c>
      <c r="X176" s="716">
        <v>0.1</v>
      </c>
      <c r="Y176" s="754"/>
      <c r="Z176" s="849"/>
      <c r="AA176" s="849"/>
      <c r="AB176" s="730" t="e">
        <f t="shared" si="63"/>
        <v>#DIV/0!</v>
      </c>
      <c r="AC176" s="1002"/>
      <c r="AD176" s="935" t="e">
        <f t="shared" si="65"/>
        <v>#DIV/0!</v>
      </c>
      <c r="AE176" s="1003">
        <f t="shared" si="66"/>
        <v>0</v>
      </c>
      <c r="AF176" s="1003"/>
      <c r="AG176" s="1003"/>
      <c r="AH176" s="734" t="e">
        <f t="shared" si="67"/>
        <v>#DIV/0!</v>
      </c>
      <c r="AI176" s="754">
        <v>360000000</v>
      </c>
      <c r="AJ176" s="849">
        <f t="shared" si="71"/>
        <v>0</v>
      </c>
      <c r="AK176" s="1004">
        <f t="shared" si="68"/>
        <v>0</v>
      </c>
      <c r="AL176" s="843"/>
      <c r="AM176" s="1005" t="s">
        <v>1325</v>
      </c>
      <c r="AN176" s="739"/>
      <c r="AO176" s="1270" t="s">
        <v>1591</v>
      </c>
      <c r="AP176" s="741"/>
      <c r="AQ176" s="741"/>
    </row>
    <row r="177" spans="1:43" ht="84.75" customHeight="1">
      <c r="A177" s="840" t="s">
        <v>1956</v>
      </c>
      <c r="B177" s="860" t="s">
        <v>1957</v>
      </c>
      <c r="C177" s="1006">
        <v>1</v>
      </c>
      <c r="D177" s="1007">
        <v>1</v>
      </c>
      <c r="E177" s="714">
        <v>1</v>
      </c>
      <c r="F177" s="715">
        <v>1</v>
      </c>
      <c r="G177" s="715"/>
      <c r="H177" s="717">
        <f t="shared" si="82"/>
        <v>1</v>
      </c>
      <c r="I177" s="717">
        <f t="shared" si="84"/>
        <v>1</v>
      </c>
      <c r="J177" s="956" t="s">
        <v>1958</v>
      </c>
      <c r="K177" s="956"/>
      <c r="L177" s="766"/>
      <c r="M177" s="720"/>
      <c r="N177" s="721"/>
      <c r="O177" s="956"/>
      <c r="P177" s="956"/>
      <c r="Q177" s="956"/>
      <c r="R177" s="722"/>
      <c r="S177" s="956"/>
      <c r="T177" s="957">
        <v>1</v>
      </c>
      <c r="U177" s="891">
        <f>SUM(E177:G177)/4</f>
        <v>0.5</v>
      </c>
      <c r="V177" s="924">
        <f t="shared" si="83"/>
        <v>0.5</v>
      </c>
      <c r="W177" s="743">
        <v>0.19</v>
      </c>
      <c r="X177" s="716">
        <v>0.15</v>
      </c>
      <c r="Y177" s="754"/>
      <c r="Z177" s="849"/>
      <c r="AA177" s="849"/>
      <c r="AB177" s="730" t="e">
        <f t="shared" si="63"/>
        <v>#DIV/0!</v>
      </c>
      <c r="AC177" s="1002"/>
      <c r="AD177" s="935" t="e">
        <f t="shared" si="65"/>
        <v>#DIV/0!</v>
      </c>
      <c r="AE177" s="1003">
        <f t="shared" si="66"/>
        <v>0</v>
      </c>
      <c r="AF177" s="1003"/>
      <c r="AG177" s="1003"/>
      <c r="AH177" s="734" t="e">
        <f t="shared" si="67"/>
        <v>#DIV/0!</v>
      </c>
      <c r="AI177" s="754">
        <v>650000000</v>
      </c>
      <c r="AJ177" s="849">
        <f t="shared" si="71"/>
        <v>0</v>
      </c>
      <c r="AK177" s="1004">
        <f t="shared" si="68"/>
        <v>0</v>
      </c>
      <c r="AL177" s="843"/>
      <c r="AM177" s="1005" t="s">
        <v>1325</v>
      </c>
      <c r="AN177" s="739"/>
      <c r="AO177" s="1271"/>
      <c r="AP177" s="741"/>
      <c r="AQ177" s="741"/>
    </row>
    <row r="178" spans="1:43" ht="64.5" customHeight="1">
      <c r="A178" s="745" t="s">
        <v>1959</v>
      </c>
      <c r="B178" s="860" t="s">
        <v>1960</v>
      </c>
      <c r="C178" s="1006">
        <v>1</v>
      </c>
      <c r="D178" s="1007">
        <v>1</v>
      </c>
      <c r="E178" s="714">
        <v>1</v>
      </c>
      <c r="F178" s="715">
        <v>1</v>
      </c>
      <c r="G178" s="715"/>
      <c r="H178" s="717">
        <f t="shared" si="82"/>
        <v>1</v>
      </c>
      <c r="I178" s="717">
        <f t="shared" si="84"/>
        <v>1</v>
      </c>
      <c r="J178" s="956" t="s">
        <v>1961</v>
      </c>
      <c r="K178" s="956"/>
      <c r="L178" s="766"/>
      <c r="M178" s="720"/>
      <c r="N178" s="721"/>
      <c r="O178" s="956"/>
      <c r="P178" s="956"/>
      <c r="Q178" s="956"/>
      <c r="R178" s="722"/>
      <c r="S178" s="956"/>
      <c r="T178" s="957">
        <v>3</v>
      </c>
      <c r="U178" s="725">
        <f>SUM(E178:G178)</f>
        <v>2</v>
      </c>
      <c r="V178" s="922">
        <f t="shared" si="83"/>
        <v>0.66666666666666663</v>
      </c>
      <c r="W178" s="774">
        <v>0.1</v>
      </c>
      <c r="X178" s="716">
        <v>0.15</v>
      </c>
      <c r="Y178" s="754"/>
      <c r="Z178" s="849"/>
      <c r="AA178" s="849"/>
      <c r="AB178" s="730" t="e">
        <f t="shared" si="63"/>
        <v>#DIV/0!</v>
      </c>
      <c r="AC178" s="1002"/>
      <c r="AD178" s="935" t="e">
        <f t="shared" si="65"/>
        <v>#DIV/0!</v>
      </c>
      <c r="AE178" s="1003">
        <f t="shared" si="66"/>
        <v>0</v>
      </c>
      <c r="AF178" s="1003"/>
      <c r="AG178" s="1003"/>
      <c r="AH178" s="734" t="e">
        <f t="shared" si="67"/>
        <v>#DIV/0!</v>
      </c>
      <c r="AI178" s="754">
        <v>229000000</v>
      </c>
      <c r="AJ178" s="849">
        <f t="shared" si="71"/>
        <v>0</v>
      </c>
      <c r="AK178" s="1004">
        <f t="shared" si="68"/>
        <v>0</v>
      </c>
      <c r="AL178" s="843"/>
      <c r="AM178" s="1005" t="s">
        <v>1325</v>
      </c>
      <c r="AN178" s="739"/>
      <c r="AO178" s="1271"/>
      <c r="AP178" s="741"/>
      <c r="AQ178" s="741"/>
    </row>
    <row r="179" spans="1:43" ht="153">
      <c r="A179" s="745" t="s">
        <v>1962</v>
      </c>
      <c r="B179" s="860" t="s">
        <v>1963</v>
      </c>
      <c r="C179" s="1006">
        <v>2</v>
      </c>
      <c r="D179" s="1007">
        <v>1</v>
      </c>
      <c r="E179" s="714">
        <v>0</v>
      </c>
      <c r="F179" s="715">
        <v>1</v>
      </c>
      <c r="G179" s="715"/>
      <c r="H179" s="717">
        <f t="shared" ref="H179" si="85">IF(E179/C179&gt;=100%,100%,E179/C179)</f>
        <v>0</v>
      </c>
      <c r="I179" s="717">
        <f t="shared" si="84"/>
        <v>1</v>
      </c>
      <c r="J179" s="992" t="s">
        <v>1964</v>
      </c>
      <c r="K179" s="956"/>
      <c r="L179" s="766"/>
      <c r="M179" s="720"/>
      <c r="N179" s="721"/>
      <c r="O179" s="956"/>
      <c r="P179" s="956"/>
      <c r="Q179" s="956"/>
      <c r="R179" s="722"/>
      <c r="S179" s="956"/>
      <c r="T179" s="957">
        <v>4</v>
      </c>
      <c r="U179" s="725">
        <f>SUM(E179:G179)</f>
        <v>1</v>
      </c>
      <c r="V179" s="922">
        <f t="shared" si="83"/>
        <v>0.25</v>
      </c>
      <c r="W179" s="774">
        <v>0.1</v>
      </c>
      <c r="X179" s="716">
        <v>0.15</v>
      </c>
      <c r="Y179" s="754"/>
      <c r="Z179" s="849"/>
      <c r="AA179" s="849"/>
      <c r="AB179" s="730" t="e">
        <f t="shared" si="63"/>
        <v>#DIV/0!</v>
      </c>
      <c r="AC179" s="1002"/>
      <c r="AD179" s="935" t="e">
        <f t="shared" si="65"/>
        <v>#DIV/0!</v>
      </c>
      <c r="AE179" s="1003">
        <f t="shared" si="66"/>
        <v>0</v>
      </c>
      <c r="AF179" s="1003"/>
      <c r="AG179" s="1003"/>
      <c r="AH179" s="734" t="e">
        <f t="shared" si="67"/>
        <v>#DIV/0!</v>
      </c>
      <c r="AI179" s="754">
        <v>144000000</v>
      </c>
      <c r="AJ179" s="849">
        <f t="shared" si="71"/>
        <v>0</v>
      </c>
      <c r="AK179" s="1004">
        <f t="shared" si="68"/>
        <v>0</v>
      </c>
      <c r="AL179" s="843"/>
      <c r="AM179" s="1005" t="s">
        <v>1325</v>
      </c>
      <c r="AN179" s="739"/>
      <c r="AO179" s="1272"/>
      <c r="AP179" s="741"/>
      <c r="AQ179" s="741"/>
    </row>
    <row r="180" spans="1:43" ht="369.75">
      <c r="A180" s="710" t="s">
        <v>1965</v>
      </c>
      <c r="B180" s="860" t="s">
        <v>1966</v>
      </c>
      <c r="C180" s="1000">
        <v>1</v>
      </c>
      <c r="D180" s="1001">
        <v>1</v>
      </c>
      <c r="E180" s="751">
        <v>1</v>
      </c>
      <c r="F180" s="732">
        <v>0.94</v>
      </c>
      <c r="G180" s="715"/>
      <c r="H180" s="717">
        <f t="shared" ref="H180:H184" si="86">IF((E180+G180)/C180&gt;=100%,100%,(E180+G180)/C180)</f>
        <v>1</v>
      </c>
      <c r="I180" s="717">
        <f t="shared" si="84"/>
        <v>0.94</v>
      </c>
      <c r="J180" s="956" t="s">
        <v>1967</v>
      </c>
      <c r="K180" s="956"/>
      <c r="L180" s="766"/>
      <c r="M180" s="720"/>
      <c r="N180" s="721"/>
      <c r="O180" s="956"/>
      <c r="P180" s="956"/>
      <c r="Q180" s="956"/>
      <c r="R180" s="722"/>
      <c r="S180" s="956"/>
      <c r="T180" s="847">
        <v>1</v>
      </c>
      <c r="U180" s="913">
        <f>SUM(E180:G180)/4</f>
        <v>0.48499999999999999</v>
      </c>
      <c r="V180" s="924">
        <f t="shared" si="83"/>
        <v>0.48499999999999999</v>
      </c>
      <c r="W180" s="743">
        <v>0.15</v>
      </c>
      <c r="X180" s="716">
        <v>0.1</v>
      </c>
      <c r="Y180" s="754"/>
      <c r="Z180" s="849"/>
      <c r="AA180" s="849"/>
      <c r="AB180" s="730" t="e">
        <f t="shared" si="63"/>
        <v>#DIV/0!</v>
      </c>
      <c r="AC180" s="1002"/>
      <c r="AD180" s="935" t="e">
        <f t="shared" si="65"/>
        <v>#DIV/0!</v>
      </c>
      <c r="AE180" s="1003">
        <f t="shared" si="66"/>
        <v>0</v>
      </c>
      <c r="AF180" s="1003"/>
      <c r="AG180" s="1003"/>
      <c r="AH180" s="734" t="e">
        <f t="shared" si="67"/>
        <v>#DIV/0!</v>
      </c>
      <c r="AI180" s="754">
        <v>290000000</v>
      </c>
      <c r="AJ180" s="849">
        <f t="shared" si="71"/>
        <v>0</v>
      </c>
      <c r="AK180" s="1004">
        <f t="shared" si="68"/>
        <v>0</v>
      </c>
      <c r="AL180" s="843"/>
      <c r="AM180" s="1005" t="s">
        <v>1325</v>
      </c>
      <c r="AN180" s="739"/>
      <c r="AO180" s="740" t="s">
        <v>1591</v>
      </c>
      <c r="AP180" s="741"/>
      <c r="AQ180" s="741"/>
    </row>
    <row r="181" spans="1:43" ht="52.5" customHeight="1">
      <c r="A181" s="745" t="s">
        <v>1968</v>
      </c>
      <c r="B181" s="860" t="s">
        <v>1969</v>
      </c>
      <c r="C181" s="1000">
        <v>1</v>
      </c>
      <c r="D181" s="1001">
        <v>1</v>
      </c>
      <c r="E181" s="751">
        <v>1</v>
      </c>
      <c r="F181" s="732">
        <v>1</v>
      </c>
      <c r="G181" s="715"/>
      <c r="H181" s="717">
        <f t="shared" si="86"/>
        <v>1</v>
      </c>
      <c r="I181" s="717">
        <f t="shared" si="84"/>
        <v>1</v>
      </c>
      <c r="J181" s="956" t="s">
        <v>1970</v>
      </c>
      <c r="K181" s="956"/>
      <c r="L181" s="766"/>
      <c r="M181" s="720"/>
      <c r="N181" s="721"/>
      <c r="O181" s="956"/>
      <c r="P181" s="956"/>
      <c r="Q181" s="956"/>
      <c r="R181" s="722"/>
      <c r="S181" s="956"/>
      <c r="T181" s="847">
        <v>1</v>
      </c>
      <c r="U181" s="913">
        <f>SUM(E181:G181)/4</f>
        <v>0.5</v>
      </c>
      <c r="V181" s="924">
        <f t="shared" si="83"/>
        <v>0.5</v>
      </c>
      <c r="W181" s="743">
        <v>0.11</v>
      </c>
      <c r="X181" s="716">
        <v>0.05</v>
      </c>
      <c r="Y181" s="754"/>
      <c r="Z181" s="849"/>
      <c r="AA181" s="849"/>
      <c r="AB181" s="730" t="e">
        <f t="shared" si="63"/>
        <v>#DIV/0!</v>
      </c>
      <c r="AC181" s="1002"/>
      <c r="AD181" s="935" t="e">
        <f t="shared" si="65"/>
        <v>#DIV/0!</v>
      </c>
      <c r="AE181" s="1003">
        <f t="shared" si="66"/>
        <v>0</v>
      </c>
      <c r="AF181" s="1003"/>
      <c r="AG181" s="1003"/>
      <c r="AH181" s="734" t="e">
        <f t="shared" si="67"/>
        <v>#DIV/0!</v>
      </c>
      <c r="AI181" s="754">
        <v>525000000</v>
      </c>
      <c r="AJ181" s="849">
        <f t="shared" si="71"/>
        <v>0</v>
      </c>
      <c r="AK181" s="1004">
        <f t="shared" si="68"/>
        <v>0</v>
      </c>
      <c r="AL181" s="843"/>
      <c r="AM181" s="1005" t="s">
        <v>1325</v>
      </c>
      <c r="AN181" s="739"/>
      <c r="AO181" s="740" t="s">
        <v>1591</v>
      </c>
      <c r="AP181" s="741"/>
      <c r="AQ181" s="741"/>
    </row>
    <row r="182" spans="1:43" ht="66" customHeight="1">
      <c r="A182" s="778" t="s">
        <v>1971</v>
      </c>
      <c r="B182" s="860" t="s">
        <v>1972</v>
      </c>
      <c r="C182" s="1000">
        <v>0.1</v>
      </c>
      <c r="D182" s="1001">
        <v>0.6</v>
      </c>
      <c r="E182" s="751">
        <v>0.06</v>
      </c>
      <c r="F182" s="732">
        <v>0.53</v>
      </c>
      <c r="G182" s="715"/>
      <c r="H182" s="717">
        <f t="shared" si="86"/>
        <v>0.6</v>
      </c>
      <c r="I182" s="717">
        <f t="shared" si="84"/>
        <v>0.88333333333333341</v>
      </c>
      <c r="J182" s="956" t="s">
        <v>1973</v>
      </c>
      <c r="K182" s="956"/>
      <c r="L182" s="766"/>
      <c r="M182" s="720"/>
      <c r="N182" s="721"/>
      <c r="O182" s="956"/>
      <c r="P182" s="956"/>
      <c r="Q182" s="956"/>
      <c r="R182" s="722"/>
      <c r="S182" s="956"/>
      <c r="T182" s="847">
        <v>1</v>
      </c>
      <c r="U182" s="752">
        <f>+F182</f>
        <v>0.53</v>
      </c>
      <c r="V182" s="924">
        <f t="shared" si="83"/>
        <v>0.53</v>
      </c>
      <c r="W182" s="743">
        <v>7.0000000000000007E-2</v>
      </c>
      <c r="X182" s="716">
        <v>0.1</v>
      </c>
      <c r="Y182" s="754"/>
      <c r="Z182" s="849"/>
      <c r="AA182" s="849"/>
      <c r="AB182" s="730" t="e">
        <f t="shared" si="63"/>
        <v>#DIV/0!</v>
      </c>
      <c r="AC182" s="1002"/>
      <c r="AD182" s="935" t="e">
        <f t="shared" si="65"/>
        <v>#DIV/0!</v>
      </c>
      <c r="AE182" s="1003">
        <f t="shared" si="66"/>
        <v>0</v>
      </c>
      <c r="AF182" s="1003"/>
      <c r="AG182" s="1003"/>
      <c r="AH182" s="734" t="e">
        <f t="shared" si="67"/>
        <v>#DIV/0!</v>
      </c>
      <c r="AI182" s="754">
        <v>118000000</v>
      </c>
      <c r="AJ182" s="849">
        <f t="shared" si="71"/>
        <v>0</v>
      </c>
      <c r="AK182" s="1004">
        <f t="shared" si="68"/>
        <v>0</v>
      </c>
      <c r="AL182" s="843"/>
      <c r="AM182" s="1005" t="s">
        <v>1325</v>
      </c>
      <c r="AN182" s="739"/>
      <c r="AO182" s="1264" t="s">
        <v>1591</v>
      </c>
      <c r="AP182" s="741"/>
      <c r="AQ182" s="741"/>
    </row>
    <row r="183" spans="1:43" ht="70.5" customHeight="1">
      <c r="A183" s="710" t="s">
        <v>1974</v>
      </c>
      <c r="B183" s="860" t="s">
        <v>1975</v>
      </c>
      <c r="C183" s="1000">
        <v>0.2</v>
      </c>
      <c r="D183" s="1001">
        <v>0.8</v>
      </c>
      <c r="E183" s="751">
        <v>0.2</v>
      </c>
      <c r="F183" s="732">
        <v>0.7</v>
      </c>
      <c r="G183" s="715"/>
      <c r="H183" s="717">
        <f t="shared" si="86"/>
        <v>1</v>
      </c>
      <c r="I183" s="717">
        <f t="shared" si="84"/>
        <v>0.87499999999999989</v>
      </c>
      <c r="J183" s="956" t="s">
        <v>1976</v>
      </c>
      <c r="K183" s="956"/>
      <c r="L183" s="766"/>
      <c r="M183" s="720"/>
      <c r="N183" s="721"/>
      <c r="O183" s="956"/>
      <c r="P183" s="956"/>
      <c r="Q183" s="956"/>
      <c r="R183" s="722"/>
      <c r="S183" s="956"/>
      <c r="T183" s="847">
        <v>1</v>
      </c>
      <c r="U183" s="752">
        <f>+F183</f>
        <v>0.7</v>
      </c>
      <c r="V183" s="924">
        <f t="shared" si="83"/>
        <v>0.7</v>
      </c>
      <c r="W183" s="743">
        <v>0.05</v>
      </c>
      <c r="X183" s="716">
        <v>0.05</v>
      </c>
      <c r="Y183" s="754"/>
      <c r="Z183" s="849"/>
      <c r="AA183" s="849"/>
      <c r="AB183" s="730" t="e">
        <f t="shared" si="63"/>
        <v>#DIV/0!</v>
      </c>
      <c r="AC183" s="1002"/>
      <c r="AD183" s="935" t="e">
        <f t="shared" si="65"/>
        <v>#DIV/0!</v>
      </c>
      <c r="AE183" s="1003">
        <f t="shared" si="66"/>
        <v>0</v>
      </c>
      <c r="AF183" s="1003"/>
      <c r="AG183" s="1003"/>
      <c r="AH183" s="734" t="e">
        <f t="shared" si="67"/>
        <v>#DIV/0!</v>
      </c>
      <c r="AI183" s="754">
        <v>100000000</v>
      </c>
      <c r="AJ183" s="849">
        <f t="shared" si="71"/>
        <v>0</v>
      </c>
      <c r="AK183" s="1004">
        <f t="shared" si="68"/>
        <v>0</v>
      </c>
      <c r="AL183" s="843"/>
      <c r="AM183" s="1005" t="s">
        <v>1325</v>
      </c>
      <c r="AN183" s="739"/>
      <c r="AO183" s="1265"/>
      <c r="AP183" s="741"/>
      <c r="AQ183" s="741"/>
    </row>
    <row r="184" spans="1:43" ht="36" customHeight="1" thickBot="1">
      <c r="A184" s="840" t="s">
        <v>1977</v>
      </c>
      <c r="B184" s="860" t="s">
        <v>1978</v>
      </c>
      <c r="C184" s="1000">
        <v>0.1</v>
      </c>
      <c r="D184" s="1001">
        <v>0.2</v>
      </c>
      <c r="E184" s="751">
        <v>0.1</v>
      </c>
      <c r="F184" s="732">
        <v>0</v>
      </c>
      <c r="G184" s="715"/>
      <c r="H184" s="717">
        <f t="shared" si="86"/>
        <v>1</v>
      </c>
      <c r="I184" s="717">
        <f t="shared" si="84"/>
        <v>0</v>
      </c>
      <c r="J184" s="956" t="s">
        <v>1979</v>
      </c>
      <c r="K184" s="956"/>
      <c r="L184" s="1008"/>
      <c r="M184" s="1009"/>
      <c r="N184" s="721"/>
      <c r="O184" s="956"/>
      <c r="P184" s="956"/>
      <c r="Q184" s="956"/>
      <c r="R184" s="722"/>
      <c r="S184" s="956"/>
      <c r="T184" s="847">
        <v>0.8</v>
      </c>
      <c r="U184" s="752">
        <f>SUM(E184:G184)</f>
        <v>0.1</v>
      </c>
      <c r="V184" s="922">
        <f t="shared" si="83"/>
        <v>0.125</v>
      </c>
      <c r="W184" s="743">
        <v>0.04</v>
      </c>
      <c r="X184" s="716">
        <v>0.05</v>
      </c>
      <c r="Y184" s="754"/>
      <c r="Z184" s="849"/>
      <c r="AA184" s="849"/>
      <c r="AB184" s="730" t="e">
        <f t="shared" si="63"/>
        <v>#DIV/0!</v>
      </c>
      <c r="AC184" s="1002"/>
      <c r="AD184" s="935" t="e">
        <f t="shared" si="65"/>
        <v>#DIV/0!</v>
      </c>
      <c r="AE184" s="1003">
        <f t="shared" si="66"/>
        <v>0</v>
      </c>
      <c r="AF184" s="1003"/>
      <c r="AG184" s="1003"/>
      <c r="AH184" s="734" t="e">
        <f t="shared" si="67"/>
        <v>#DIV/0!</v>
      </c>
      <c r="AI184" s="754">
        <v>162000000</v>
      </c>
      <c r="AJ184" s="849">
        <f t="shared" si="71"/>
        <v>0</v>
      </c>
      <c r="AK184" s="1004">
        <f t="shared" si="68"/>
        <v>0</v>
      </c>
      <c r="AL184" s="843"/>
      <c r="AM184" s="1005" t="s">
        <v>1325</v>
      </c>
      <c r="AN184" s="739"/>
      <c r="AO184" s="1266"/>
      <c r="AP184" s="741"/>
      <c r="AQ184" s="741"/>
    </row>
    <row r="185" spans="1:43" s="709" customFormat="1" ht="63.75">
      <c r="A185" s="687" t="s">
        <v>1980</v>
      </c>
      <c r="B185" s="688"/>
      <c r="C185" s="689"/>
      <c r="D185" s="690"/>
      <c r="E185" s="689"/>
      <c r="F185" s="691"/>
      <c r="G185" s="691"/>
      <c r="H185" s="693">
        <f>+(H186*30%)+(H187*20%)+(H188*15%)+(H189*20%)+(H190*5%)+(H191*10%)</f>
        <v>1.0000000000000002</v>
      </c>
      <c r="I185" s="693">
        <f>+SUMPRODUCT(I186:I192,X186:X192)</f>
        <v>0.67</v>
      </c>
      <c r="J185" s="951"/>
      <c r="K185" s="951"/>
      <c r="L185" s="694"/>
      <c r="M185" s="688"/>
      <c r="N185" s="688"/>
      <c r="O185" s="951"/>
      <c r="P185" s="951"/>
      <c r="Q185" s="951"/>
      <c r="R185" s="770"/>
      <c r="S185" s="951"/>
      <c r="T185" s="952"/>
      <c r="U185" s="1010"/>
      <c r="V185" s="676">
        <f>+SUMPRODUCT(V186:V192,W186:W192)</f>
        <v>0.4425</v>
      </c>
      <c r="W185" s="693">
        <v>0.2</v>
      </c>
      <c r="X185" s="693">
        <v>0.2</v>
      </c>
      <c r="Y185" s="699">
        <v>2428000000</v>
      </c>
      <c r="Z185" s="699">
        <v>2103150383</v>
      </c>
      <c r="AA185" s="699">
        <v>2390651828.3299999</v>
      </c>
      <c r="AB185" s="700">
        <f t="shared" si="63"/>
        <v>0.98461772171746287</v>
      </c>
      <c r="AC185" s="699">
        <v>2260887180.3299999</v>
      </c>
      <c r="AD185" s="838">
        <f t="shared" si="65"/>
        <v>0.93117264428747937</v>
      </c>
      <c r="AE185" s="927">
        <f t="shared" si="66"/>
        <v>129764648</v>
      </c>
      <c r="AF185" s="927">
        <v>59979571</v>
      </c>
      <c r="AG185" s="927">
        <v>59979571</v>
      </c>
      <c r="AH185" s="703">
        <f t="shared" si="67"/>
        <v>1</v>
      </c>
      <c r="AI185" s="699">
        <f>SUM(AI186:AI192)</f>
        <v>8677328308</v>
      </c>
      <c r="AJ185" s="699">
        <f>+SUM(Z185:AA185)</f>
        <v>4493802211.3299999</v>
      </c>
      <c r="AK185" s="838">
        <f t="shared" si="68"/>
        <v>0.51787855107279634</v>
      </c>
      <c r="AL185" s="834"/>
      <c r="AM185" s="705" t="s">
        <v>1325</v>
      </c>
      <c r="AN185" s="706"/>
      <c r="AO185" s="707"/>
      <c r="AP185" s="708"/>
      <c r="AQ185" s="708"/>
    </row>
    <row r="186" spans="1:43" ht="102" customHeight="1">
      <c r="A186" s="710" t="s">
        <v>1981</v>
      </c>
      <c r="B186" s="912" t="s">
        <v>1982</v>
      </c>
      <c r="C186" s="988">
        <v>1</v>
      </c>
      <c r="D186" s="989">
        <v>1</v>
      </c>
      <c r="E186" s="714">
        <v>1</v>
      </c>
      <c r="F186" s="715">
        <v>1</v>
      </c>
      <c r="G186" s="715"/>
      <c r="H186" s="717">
        <f t="shared" ref="H186:H191" si="87">IF((E186+G186)/C186&gt;=100%,100%,(E186+G186)/C186)</f>
        <v>1</v>
      </c>
      <c r="I186" s="717">
        <f>IF(F186/D186&gt;=100%,100%,F186/D186)</f>
        <v>1</v>
      </c>
      <c r="J186" s="956" t="s">
        <v>1983</v>
      </c>
      <c r="K186" s="956"/>
      <c r="L186" s="719"/>
      <c r="M186" s="720"/>
      <c r="N186" s="721"/>
      <c r="O186" s="956"/>
      <c r="P186" s="956"/>
      <c r="Q186" s="956"/>
      <c r="R186" s="722"/>
      <c r="S186" s="956"/>
      <c r="T186" s="957">
        <v>1</v>
      </c>
      <c r="U186" s="891">
        <f>SUM(E186:G186)/4</f>
        <v>0.5</v>
      </c>
      <c r="V186" s="924">
        <f t="shared" si="83"/>
        <v>0.5</v>
      </c>
      <c r="W186" s="743">
        <v>0.3</v>
      </c>
      <c r="X186" s="716">
        <v>0.3</v>
      </c>
      <c r="Y186" s="754"/>
      <c r="Z186" s="933"/>
      <c r="AA186" s="933"/>
      <c r="AB186" s="730" t="e">
        <f t="shared" si="63"/>
        <v>#DIV/0!</v>
      </c>
      <c r="AC186" s="934"/>
      <c r="AD186" s="935" t="e">
        <f t="shared" si="65"/>
        <v>#DIV/0!</v>
      </c>
      <c r="AE186" s="936">
        <f t="shared" si="66"/>
        <v>0</v>
      </c>
      <c r="AF186" s="936"/>
      <c r="AG186" s="936"/>
      <c r="AH186" s="734" t="e">
        <f t="shared" si="67"/>
        <v>#DIV/0!</v>
      </c>
      <c r="AI186" s="754">
        <v>1754000000</v>
      </c>
      <c r="AJ186" s="849">
        <f t="shared" si="71"/>
        <v>0</v>
      </c>
      <c r="AK186" s="850">
        <f t="shared" si="68"/>
        <v>0</v>
      </c>
      <c r="AL186" s="845"/>
      <c r="AM186" s="738" t="s">
        <v>1325</v>
      </c>
      <c r="AN186" s="884" t="s">
        <v>832</v>
      </c>
      <c r="AO186" s="740" t="s">
        <v>1591</v>
      </c>
      <c r="AP186" s="741"/>
      <c r="AQ186" s="741"/>
    </row>
    <row r="187" spans="1:43" ht="84.75" customHeight="1">
      <c r="A187" s="710" t="s">
        <v>1984</v>
      </c>
      <c r="B187" s="912" t="s">
        <v>1985</v>
      </c>
      <c r="C187" s="990">
        <v>0.5</v>
      </c>
      <c r="D187" s="991">
        <v>1</v>
      </c>
      <c r="E187" s="1011">
        <v>1</v>
      </c>
      <c r="F187" s="732">
        <v>1</v>
      </c>
      <c r="G187" s="715"/>
      <c r="H187" s="717">
        <f t="shared" si="87"/>
        <v>1</v>
      </c>
      <c r="I187" s="717">
        <f t="shared" ref="I187:I192" si="88">IF(F187/D187&gt;=100%,100%,F187/D187)</f>
        <v>1</v>
      </c>
      <c r="J187" s="956" t="s">
        <v>1986</v>
      </c>
      <c r="K187" s="956"/>
      <c r="L187" s="719"/>
      <c r="M187" s="720"/>
      <c r="N187" s="721"/>
      <c r="O187" s="956"/>
      <c r="P187" s="956"/>
      <c r="Q187" s="956"/>
      <c r="R187" s="722"/>
      <c r="S187" s="956"/>
      <c r="T187" s="847">
        <v>1</v>
      </c>
      <c r="U187" s="913">
        <f>SUM(E187:G187)/3.5</f>
        <v>0.5714285714285714</v>
      </c>
      <c r="V187" s="924">
        <f t="shared" si="83"/>
        <v>0.5714285714285714</v>
      </c>
      <c r="W187" s="743">
        <v>0.2</v>
      </c>
      <c r="X187" s="716">
        <v>0.2</v>
      </c>
      <c r="Y187" s="754"/>
      <c r="Z187" s="933"/>
      <c r="AA187" s="933"/>
      <c r="AB187" s="730" t="e">
        <f t="shared" si="63"/>
        <v>#DIV/0!</v>
      </c>
      <c r="AC187" s="934"/>
      <c r="AD187" s="935" t="e">
        <f t="shared" si="65"/>
        <v>#DIV/0!</v>
      </c>
      <c r="AE187" s="936">
        <f t="shared" si="66"/>
        <v>0</v>
      </c>
      <c r="AF187" s="936"/>
      <c r="AG187" s="936"/>
      <c r="AH187" s="734" t="e">
        <f t="shared" si="67"/>
        <v>#DIV/0!</v>
      </c>
      <c r="AI187" s="754">
        <v>2300000000</v>
      </c>
      <c r="AJ187" s="849">
        <f t="shared" si="71"/>
        <v>0</v>
      </c>
      <c r="AK187" s="850">
        <f t="shared" si="68"/>
        <v>0</v>
      </c>
      <c r="AL187" s="845"/>
      <c r="AM187" s="738" t="s">
        <v>1325</v>
      </c>
      <c r="AN187" s="884"/>
      <c r="AO187" s="740" t="s">
        <v>1591</v>
      </c>
      <c r="AP187" s="741"/>
      <c r="AQ187" s="741"/>
    </row>
    <row r="188" spans="1:43" ht="64.5" thickBot="1">
      <c r="A188" s="710" t="s">
        <v>1987</v>
      </c>
      <c r="B188" s="912" t="s">
        <v>1988</v>
      </c>
      <c r="C188" s="990">
        <v>0.5</v>
      </c>
      <c r="D188" s="991">
        <v>1</v>
      </c>
      <c r="E188" s="1011">
        <v>1</v>
      </c>
      <c r="F188" s="732">
        <v>1</v>
      </c>
      <c r="G188" s="715"/>
      <c r="H188" s="717">
        <f t="shared" si="87"/>
        <v>1</v>
      </c>
      <c r="I188" s="717">
        <f t="shared" si="88"/>
        <v>1</v>
      </c>
      <c r="J188" s="956" t="s">
        <v>1986</v>
      </c>
      <c r="K188" s="956"/>
      <c r="L188" s="1012"/>
      <c r="M188" s="1009"/>
      <c r="N188" s="721"/>
      <c r="O188" s="956"/>
      <c r="P188" s="956"/>
      <c r="Q188" s="956"/>
      <c r="R188" s="722"/>
      <c r="S188" s="956"/>
      <c r="T188" s="847">
        <v>1</v>
      </c>
      <c r="U188" s="913">
        <f>SUM(E188:G188)/3.5</f>
        <v>0.5714285714285714</v>
      </c>
      <c r="V188" s="924">
        <f t="shared" si="83"/>
        <v>0.5714285714285714</v>
      </c>
      <c r="W188" s="743">
        <v>0.15</v>
      </c>
      <c r="X188" s="716">
        <v>0.15</v>
      </c>
      <c r="Y188" s="754"/>
      <c r="Z188" s="933"/>
      <c r="AA188" s="933"/>
      <c r="AB188" s="730" t="e">
        <f t="shared" si="63"/>
        <v>#DIV/0!</v>
      </c>
      <c r="AC188" s="934"/>
      <c r="AD188" s="935" t="e">
        <f t="shared" si="65"/>
        <v>#DIV/0!</v>
      </c>
      <c r="AE188" s="936">
        <f t="shared" si="66"/>
        <v>0</v>
      </c>
      <c r="AF188" s="936"/>
      <c r="AG188" s="936"/>
      <c r="AH188" s="734" t="e">
        <f t="shared" si="67"/>
        <v>#DIV/0!</v>
      </c>
      <c r="AI188" s="754">
        <v>2296538000</v>
      </c>
      <c r="AJ188" s="849">
        <f t="shared" si="71"/>
        <v>0</v>
      </c>
      <c r="AK188" s="850">
        <f t="shared" si="68"/>
        <v>0</v>
      </c>
      <c r="AL188" s="845"/>
      <c r="AM188" s="738" t="s">
        <v>1325</v>
      </c>
      <c r="AN188" s="739" t="s">
        <v>879</v>
      </c>
      <c r="AO188" s="740" t="s">
        <v>1591</v>
      </c>
      <c r="AP188" s="741"/>
      <c r="AQ188" s="741"/>
    </row>
    <row r="189" spans="1:43" ht="51">
      <c r="A189" s="710" t="s">
        <v>1989</v>
      </c>
      <c r="B189" s="912" t="s">
        <v>1990</v>
      </c>
      <c r="C189" s="990">
        <v>1</v>
      </c>
      <c r="D189" s="991">
        <v>1</v>
      </c>
      <c r="E189" s="751">
        <v>1</v>
      </c>
      <c r="F189" s="732">
        <v>0.1</v>
      </c>
      <c r="G189" s="715"/>
      <c r="H189" s="717">
        <f t="shared" si="87"/>
        <v>1</v>
      </c>
      <c r="I189" s="717">
        <f t="shared" si="88"/>
        <v>0.1</v>
      </c>
      <c r="J189" s="956" t="s">
        <v>1991</v>
      </c>
      <c r="K189" s="956"/>
      <c r="L189" s="1013"/>
      <c r="M189" s="1014"/>
      <c r="N189" s="721"/>
      <c r="O189" s="956"/>
      <c r="P189" s="956"/>
      <c r="Q189" s="956"/>
      <c r="R189" s="722"/>
      <c r="S189" s="956"/>
      <c r="T189" s="847">
        <v>1</v>
      </c>
      <c r="U189" s="913">
        <f>SUM(E189:G189)/4</f>
        <v>0.27500000000000002</v>
      </c>
      <c r="V189" s="924">
        <f t="shared" si="83"/>
        <v>0.27500000000000002</v>
      </c>
      <c r="W189" s="743">
        <v>0.2</v>
      </c>
      <c r="X189" s="716">
        <v>0.2</v>
      </c>
      <c r="Y189" s="754"/>
      <c r="Z189" s="933"/>
      <c r="AA189" s="933"/>
      <c r="AB189" s="730" t="e">
        <f t="shared" si="63"/>
        <v>#DIV/0!</v>
      </c>
      <c r="AC189" s="934"/>
      <c r="AD189" s="935" t="e">
        <f t="shared" si="65"/>
        <v>#DIV/0!</v>
      </c>
      <c r="AE189" s="936">
        <f t="shared" si="66"/>
        <v>0</v>
      </c>
      <c r="AF189" s="936"/>
      <c r="AG189" s="936"/>
      <c r="AH189" s="734" t="e">
        <f t="shared" si="67"/>
        <v>#DIV/0!</v>
      </c>
      <c r="AI189" s="754">
        <v>1712534461</v>
      </c>
      <c r="AJ189" s="849">
        <f t="shared" si="71"/>
        <v>0</v>
      </c>
      <c r="AK189" s="850">
        <f t="shared" si="68"/>
        <v>0</v>
      </c>
      <c r="AL189" s="845"/>
      <c r="AM189" s="738" t="s">
        <v>1325</v>
      </c>
      <c r="AN189" s="884"/>
      <c r="AO189" s="740" t="s">
        <v>1591</v>
      </c>
      <c r="AP189" s="741"/>
      <c r="AQ189" s="741"/>
    </row>
    <row r="190" spans="1:43" ht="84.75" customHeight="1">
      <c r="A190" s="710" t="s">
        <v>1992</v>
      </c>
      <c r="B190" s="912" t="s">
        <v>1993</v>
      </c>
      <c r="C190" s="988">
        <v>1</v>
      </c>
      <c r="D190" s="989">
        <v>0</v>
      </c>
      <c r="E190" s="714">
        <v>1</v>
      </c>
      <c r="F190" s="715" t="s">
        <v>1541</v>
      </c>
      <c r="G190" s="715"/>
      <c r="H190" s="717">
        <f t="shared" si="87"/>
        <v>1</v>
      </c>
      <c r="I190" s="717" t="s">
        <v>1577</v>
      </c>
      <c r="J190" s="956"/>
      <c r="K190" s="956"/>
      <c r="L190" s="1013"/>
      <c r="M190" s="1014"/>
      <c r="N190" s="721"/>
      <c r="O190" s="956"/>
      <c r="P190" s="956"/>
      <c r="Q190" s="956"/>
      <c r="R190" s="722"/>
      <c r="S190" s="956"/>
      <c r="T190" s="957">
        <v>2</v>
      </c>
      <c r="U190" s="725">
        <f>SUM(E190:G190)</f>
        <v>1</v>
      </c>
      <c r="V190" s="922">
        <f t="shared" si="83"/>
        <v>0.5</v>
      </c>
      <c r="W190" s="743">
        <v>0.02</v>
      </c>
      <c r="X190" s="716">
        <v>0</v>
      </c>
      <c r="Y190" s="768"/>
      <c r="Z190" s="933"/>
      <c r="AA190" s="933"/>
      <c r="AB190" s="730" t="e">
        <f t="shared" si="63"/>
        <v>#DIV/0!</v>
      </c>
      <c r="AC190" s="934"/>
      <c r="AD190" s="935" t="e">
        <f t="shared" si="65"/>
        <v>#DIV/0!</v>
      </c>
      <c r="AE190" s="936">
        <f t="shared" si="66"/>
        <v>0</v>
      </c>
      <c r="AF190" s="936"/>
      <c r="AG190" s="936"/>
      <c r="AH190" s="734" t="e">
        <f t="shared" si="67"/>
        <v>#DIV/0!</v>
      </c>
      <c r="AI190" s="768">
        <v>304712970</v>
      </c>
      <c r="AJ190" s="849">
        <f t="shared" si="71"/>
        <v>0</v>
      </c>
      <c r="AK190" s="850">
        <f t="shared" si="68"/>
        <v>0</v>
      </c>
      <c r="AL190" s="845"/>
      <c r="AM190" s="738" t="s">
        <v>1325</v>
      </c>
      <c r="AN190" s="884"/>
      <c r="AO190" s="740" t="s">
        <v>1591</v>
      </c>
      <c r="AP190" s="741"/>
      <c r="AQ190" s="741"/>
    </row>
    <row r="191" spans="1:43" ht="76.5">
      <c r="A191" s="710" t="s">
        <v>1994</v>
      </c>
      <c r="B191" s="912" t="s">
        <v>1995</v>
      </c>
      <c r="C191" s="988">
        <v>1</v>
      </c>
      <c r="D191" s="989">
        <v>1</v>
      </c>
      <c r="E191" s="714">
        <v>1</v>
      </c>
      <c r="F191" s="746">
        <v>0</v>
      </c>
      <c r="G191" s="715"/>
      <c r="H191" s="717">
        <f t="shared" si="87"/>
        <v>1</v>
      </c>
      <c r="I191" s="761">
        <f t="shared" si="88"/>
        <v>0</v>
      </c>
      <c r="J191" s="956" t="s">
        <v>1996</v>
      </c>
      <c r="K191" s="956"/>
      <c r="L191" s="1013"/>
      <c r="M191" s="1014"/>
      <c r="N191" s="721"/>
      <c r="O191" s="956"/>
      <c r="P191" s="956"/>
      <c r="Q191" s="956"/>
      <c r="R191" s="722"/>
      <c r="S191" s="956"/>
      <c r="T191" s="957">
        <v>1</v>
      </c>
      <c r="U191" s="913">
        <f>SUM(E191:G191)/4</f>
        <v>0.25</v>
      </c>
      <c r="V191" s="924">
        <f t="shared" si="83"/>
        <v>0.25</v>
      </c>
      <c r="W191" s="743">
        <v>0.11</v>
      </c>
      <c r="X191" s="935">
        <v>0.1</v>
      </c>
      <c r="Y191" s="754"/>
      <c r="Z191" s="933"/>
      <c r="AA191" s="933"/>
      <c r="AB191" s="730" t="e">
        <f t="shared" si="63"/>
        <v>#DIV/0!</v>
      </c>
      <c r="AC191" s="934"/>
      <c r="AD191" s="935" t="e">
        <f t="shared" si="65"/>
        <v>#DIV/0!</v>
      </c>
      <c r="AE191" s="936">
        <f t="shared" si="66"/>
        <v>0</v>
      </c>
      <c r="AF191" s="936"/>
      <c r="AG191" s="936"/>
      <c r="AH191" s="734" t="e">
        <f t="shared" si="67"/>
        <v>#DIV/0!</v>
      </c>
      <c r="AI191" s="754">
        <v>269542877</v>
      </c>
      <c r="AJ191" s="849">
        <f t="shared" si="71"/>
        <v>0</v>
      </c>
      <c r="AK191" s="850">
        <f t="shared" si="68"/>
        <v>0</v>
      </c>
      <c r="AL191" s="845"/>
      <c r="AM191" s="738" t="s">
        <v>1325</v>
      </c>
      <c r="AN191" s="884"/>
      <c r="AO191" s="740" t="s">
        <v>1591</v>
      </c>
      <c r="AP191" s="741"/>
      <c r="AQ191" s="741"/>
    </row>
    <row r="192" spans="1:43" ht="51">
      <c r="A192" s="773" t="s">
        <v>1997</v>
      </c>
      <c r="B192" s="912" t="s">
        <v>1998</v>
      </c>
      <c r="C192" s="988">
        <v>0</v>
      </c>
      <c r="D192" s="989">
        <v>1</v>
      </c>
      <c r="E192" s="714">
        <v>0</v>
      </c>
      <c r="F192" s="1015">
        <v>0</v>
      </c>
      <c r="G192" s="715"/>
      <c r="H192" s="717" t="s">
        <v>1536</v>
      </c>
      <c r="I192" s="717">
        <f t="shared" si="88"/>
        <v>0</v>
      </c>
      <c r="J192" s="956" t="s">
        <v>1999</v>
      </c>
      <c r="K192" s="956"/>
      <c r="L192" s="1013"/>
      <c r="M192" s="1014"/>
      <c r="N192" s="721"/>
      <c r="O192" s="956"/>
      <c r="P192" s="956"/>
      <c r="Q192" s="956"/>
      <c r="R192" s="722"/>
      <c r="S192" s="956"/>
      <c r="T192" s="957">
        <v>1</v>
      </c>
      <c r="U192" s="725">
        <f>SUM(E192:G192)</f>
        <v>0</v>
      </c>
      <c r="V192" s="922">
        <f t="shared" si="83"/>
        <v>0</v>
      </c>
      <c r="W192" s="743">
        <v>0.02</v>
      </c>
      <c r="X192" s="935">
        <v>0.05</v>
      </c>
      <c r="Y192" s="754"/>
      <c r="Z192" s="933"/>
      <c r="AA192" s="933"/>
      <c r="AB192" s="730" t="e">
        <f t="shared" si="63"/>
        <v>#DIV/0!</v>
      </c>
      <c r="AC192" s="934"/>
      <c r="AD192" s="935" t="e">
        <f t="shared" si="65"/>
        <v>#DIV/0!</v>
      </c>
      <c r="AE192" s="936">
        <f t="shared" si="66"/>
        <v>0</v>
      </c>
      <c r="AF192" s="936"/>
      <c r="AG192" s="936"/>
      <c r="AH192" s="734" t="e">
        <f t="shared" si="67"/>
        <v>#DIV/0!</v>
      </c>
      <c r="AI192" s="754">
        <v>40000000</v>
      </c>
      <c r="AJ192" s="849">
        <f t="shared" si="71"/>
        <v>0</v>
      </c>
      <c r="AK192" s="850">
        <f t="shared" si="68"/>
        <v>0</v>
      </c>
      <c r="AL192" s="845"/>
      <c r="AM192" s="738" t="s">
        <v>1325</v>
      </c>
      <c r="AN192" s="884" t="s">
        <v>943</v>
      </c>
      <c r="AO192" s="740" t="s">
        <v>1591</v>
      </c>
      <c r="AP192" s="741"/>
      <c r="AQ192" s="741"/>
    </row>
    <row r="193" spans="1:43" s="709" customFormat="1" ht="76.5">
      <c r="A193" s="687" t="s">
        <v>2000</v>
      </c>
      <c r="B193" s="688"/>
      <c r="C193" s="689"/>
      <c r="D193" s="690"/>
      <c r="E193" s="689"/>
      <c r="F193" s="691"/>
      <c r="G193" s="691"/>
      <c r="H193" s="693">
        <f>+(H198*100%)</f>
        <v>1</v>
      </c>
      <c r="I193" s="693">
        <f>+SUMPRODUCT(I194:I200,X194:X200)</f>
        <v>0.6</v>
      </c>
      <c r="J193" s="951"/>
      <c r="K193" s="951"/>
      <c r="L193" s="694"/>
      <c r="M193" s="688"/>
      <c r="N193" s="688"/>
      <c r="O193" s="951"/>
      <c r="P193" s="951"/>
      <c r="Q193" s="951"/>
      <c r="R193" s="770"/>
      <c r="S193" s="951"/>
      <c r="T193" s="952"/>
      <c r="U193" s="697"/>
      <c r="V193" s="676">
        <f>+SUMPRODUCT(V194:V200,W194:W200)</f>
        <v>0.28547619047619044</v>
      </c>
      <c r="W193" s="693">
        <v>0.15</v>
      </c>
      <c r="X193" s="693">
        <v>0.15</v>
      </c>
      <c r="Y193" s="699">
        <v>434000000</v>
      </c>
      <c r="Z193" s="699">
        <v>81713362</v>
      </c>
      <c r="AA193" s="699">
        <v>281305829.51999998</v>
      </c>
      <c r="AB193" s="700">
        <f t="shared" si="63"/>
        <v>0.64817011410138248</v>
      </c>
      <c r="AC193" s="699">
        <v>242405829.51999998</v>
      </c>
      <c r="AD193" s="838">
        <f t="shared" si="65"/>
        <v>0.55853877769585247</v>
      </c>
      <c r="AE193" s="927">
        <f t="shared" si="66"/>
        <v>38900000</v>
      </c>
      <c r="AF193" s="927"/>
      <c r="AG193" s="927"/>
      <c r="AH193" s="703" t="e">
        <f t="shared" si="67"/>
        <v>#DIV/0!</v>
      </c>
      <c r="AI193" s="699">
        <f>SUM(AI194:AI200)</f>
        <v>1700000000</v>
      </c>
      <c r="AJ193" s="699">
        <f>+SUM(Z193:AA193)</f>
        <v>363019191.51999998</v>
      </c>
      <c r="AK193" s="838">
        <f t="shared" si="68"/>
        <v>0.21354070089411764</v>
      </c>
      <c r="AL193" s="834"/>
      <c r="AM193" s="705" t="s">
        <v>1325</v>
      </c>
      <c r="AN193" s="706"/>
      <c r="AO193" s="707"/>
      <c r="AP193" s="708"/>
      <c r="AQ193" s="708"/>
    </row>
    <row r="194" spans="1:43" ht="114.75">
      <c r="A194" s="710" t="s">
        <v>2001</v>
      </c>
      <c r="B194" s="912" t="s">
        <v>2002</v>
      </c>
      <c r="C194" s="1006">
        <v>0</v>
      </c>
      <c r="D194" s="1007">
        <v>2</v>
      </c>
      <c r="E194" s="714">
        <v>0</v>
      </c>
      <c r="F194" s="715">
        <v>2</v>
      </c>
      <c r="G194" s="715"/>
      <c r="H194" s="717" t="s">
        <v>1536</v>
      </c>
      <c r="I194" s="717">
        <f>IF(F194/D194&gt;=100%,100%,F194/D194)</f>
        <v>1</v>
      </c>
      <c r="J194" s="956" t="s">
        <v>2003</v>
      </c>
      <c r="K194" s="956"/>
      <c r="L194" s="719"/>
      <c r="M194" s="720"/>
      <c r="N194" s="721"/>
      <c r="O194" s="956"/>
      <c r="P194" s="956"/>
      <c r="Q194" s="956"/>
      <c r="R194" s="722"/>
      <c r="S194" s="956"/>
      <c r="T194" s="957">
        <v>3</v>
      </c>
      <c r="U194" s="725">
        <f>SUM(E194:G194)</f>
        <v>2</v>
      </c>
      <c r="V194" s="922">
        <f t="shared" ref="V194:V200" si="89">IF(U194/T194&gt;=100%,100%,U194/T194)</f>
        <v>0.66666666666666663</v>
      </c>
      <c r="W194" s="743">
        <v>0.06</v>
      </c>
      <c r="X194" s="716">
        <v>0.15</v>
      </c>
      <c r="Y194" s="754"/>
      <c r="Z194" s="933"/>
      <c r="AA194" s="933"/>
      <c r="AB194" s="730" t="e">
        <f t="shared" si="63"/>
        <v>#DIV/0!</v>
      </c>
      <c r="AC194" s="934"/>
      <c r="AD194" s="935" t="e">
        <f t="shared" si="65"/>
        <v>#DIV/0!</v>
      </c>
      <c r="AE194" s="936">
        <f t="shared" si="66"/>
        <v>0</v>
      </c>
      <c r="AF194" s="936"/>
      <c r="AG194" s="936"/>
      <c r="AH194" s="734" t="e">
        <f t="shared" si="67"/>
        <v>#DIV/0!</v>
      </c>
      <c r="AI194" s="754">
        <v>290000000</v>
      </c>
      <c r="AJ194" s="849">
        <f t="shared" si="71"/>
        <v>0</v>
      </c>
      <c r="AK194" s="850">
        <f t="shared" si="68"/>
        <v>0</v>
      </c>
      <c r="AL194" s="845"/>
      <c r="AM194" s="738" t="s">
        <v>1325</v>
      </c>
      <c r="AN194" s="884"/>
      <c r="AO194" s="1264" t="s">
        <v>1591</v>
      </c>
      <c r="AP194" s="741"/>
      <c r="AQ194" s="741"/>
    </row>
    <row r="195" spans="1:43" ht="123.75" customHeight="1">
      <c r="A195" s="710" t="s">
        <v>2004</v>
      </c>
      <c r="B195" s="912" t="s">
        <v>2005</v>
      </c>
      <c r="C195" s="1006">
        <v>0</v>
      </c>
      <c r="D195" s="1007">
        <v>2</v>
      </c>
      <c r="E195" s="714">
        <v>0</v>
      </c>
      <c r="F195" s="715">
        <v>2</v>
      </c>
      <c r="G195" s="715"/>
      <c r="H195" s="717" t="s">
        <v>1536</v>
      </c>
      <c r="I195" s="717">
        <f t="shared" ref="I195:I200" si="90">IF(F195/D195&gt;=100%,100%,F195/D195)</f>
        <v>1</v>
      </c>
      <c r="J195" s="956" t="s">
        <v>2006</v>
      </c>
      <c r="K195" s="956"/>
      <c r="L195" s="719"/>
      <c r="M195" s="720"/>
      <c r="N195" s="721"/>
      <c r="O195" s="956"/>
      <c r="P195" s="956"/>
      <c r="Q195" s="956"/>
      <c r="R195" s="722"/>
      <c r="S195" s="956"/>
      <c r="T195" s="957">
        <v>2</v>
      </c>
      <c r="U195" s="725">
        <f>SUM(E195:G195)</f>
        <v>2</v>
      </c>
      <c r="V195" s="922">
        <f t="shared" si="89"/>
        <v>1</v>
      </c>
      <c r="W195" s="743">
        <v>0.02</v>
      </c>
      <c r="X195" s="716">
        <v>0.1</v>
      </c>
      <c r="Y195" s="754"/>
      <c r="Z195" s="933"/>
      <c r="AA195" s="933"/>
      <c r="AB195" s="730" t="e">
        <f t="shared" si="63"/>
        <v>#DIV/0!</v>
      </c>
      <c r="AC195" s="934"/>
      <c r="AD195" s="935" t="e">
        <f t="shared" si="65"/>
        <v>#DIV/0!</v>
      </c>
      <c r="AE195" s="936">
        <f t="shared" si="66"/>
        <v>0</v>
      </c>
      <c r="AF195" s="936"/>
      <c r="AG195" s="936"/>
      <c r="AH195" s="734" t="e">
        <f t="shared" si="67"/>
        <v>#DIV/0!</v>
      </c>
      <c r="AI195" s="754">
        <v>10000000</v>
      </c>
      <c r="AJ195" s="849">
        <f t="shared" si="71"/>
        <v>0</v>
      </c>
      <c r="AK195" s="850">
        <f t="shared" si="68"/>
        <v>0</v>
      </c>
      <c r="AL195" s="845"/>
      <c r="AM195" s="738" t="s">
        <v>1325</v>
      </c>
      <c r="AN195" s="884"/>
      <c r="AO195" s="1265"/>
      <c r="AP195" s="741"/>
      <c r="AQ195" s="741"/>
    </row>
    <row r="196" spans="1:43" ht="76.5">
      <c r="A196" s="710" t="s">
        <v>2007</v>
      </c>
      <c r="B196" s="912" t="s">
        <v>2008</v>
      </c>
      <c r="C196" s="1006">
        <v>0</v>
      </c>
      <c r="D196" s="1007">
        <v>1</v>
      </c>
      <c r="E196" s="714">
        <v>0</v>
      </c>
      <c r="F196" s="715">
        <v>1</v>
      </c>
      <c r="G196" s="715"/>
      <c r="H196" s="717" t="s">
        <v>1536</v>
      </c>
      <c r="I196" s="717">
        <f t="shared" si="90"/>
        <v>1</v>
      </c>
      <c r="J196" s="956" t="s">
        <v>2009</v>
      </c>
      <c r="K196" s="956"/>
      <c r="L196" s="719"/>
      <c r="M196" s="720"/>
      <c r="N196" s="721"/>
      <c r="O196" s="956"/>
      <c r="P196" s="956"/>
      <c r="Q196" s="956"/>
      <c r="R196" s="722"/>
      <c r="S196" s="956"/>
      <c r="T196" s="957">
        <v>3</v>
      </c>
      <c r="U196" s="725">
        <f>SUM(E196:G196)</f>
        <v>1</v>
      </c>
      <c r="V196" s="922">
        <f t="shared" si="89"/>
        <v>0.33333333333333331</v>
      </c>
      <c r="W196" s="743">
        <v>0.19</v>
      </c>
      <c r="X196" s="716">
        <v>0.15</v>
      </c>
      <c r="Y196" s="754"/>
      <c r="Z196" s="933"/>
      <c r="AA196" s="933"/>
      <c r="AB196" s="730" t="e">
        <f t="shared" si="63"/>
        <v>#DIV/0!</v>
      </c>
      <c r="AC196" s="934"/>
      <c r="AD196" s="935" t="e">
        <f t="shared" si="65"/>
        <v>#DIV/0!</v>
      </c>
      <c r="AE196" s="936">
        <f t="shared" si="66"/>
        <v>0</v>
      </c>
      <c r="AF196" s="936"/>
      <c r="AG196" s="936"/>
      <c r="AH196" s="734" t="e">
        <f t="shared" si="67"/>
        <v>#DIV/0!</v>
      </c>
      <c r="AI196" s="754">
        <v>140000000</v>
      </c>
      <c r="AJ196" s="849">
        <f t="shared" si="71"/>
        <v>0</v>
      </c>
      <c r="AK196" s="850">
        <f t="shared" si="68"/>
        <v>0</v>
      </c>
      <c r="AL196" s="845"/>
      <c r="AM196" s="738" t="s">
        <v>1325</v>
      </c>
      <c r="AN196" s="884"/>
      <c r="AO196" s="1265"/>
      <c r="AP196" s="741"/>
      <c r="AQ196" s="741"/>
    </row>
    <row r="197" spans="1:43" ht="160.5" customHeight="1">
      <c r="A197" s="710" t="s">
        <v>2010</v>
      </c>
      <c r="B197" s="912" t="s">
        <v>2011</v>
      </c>
      <c r="C197" s="1006">
        <v>0</v>
      </c>
      <c r="D197" s="1007">
        <v>1</v>
      </c>
      <c r="E197" s="714">
        <v>0</v>
      </c>
      <c r="F197" s="715">
        <v>0</v>
      </c>
      <c r="G197" s="715"/>
      <c r="H197" s="717" t="s">
        <v>1536</v>
      </c>
      <c r="I197" s="717">
        <f t="shared" si="90"/>
        <v>0</v>
      </c>
      <c r="J197" s="956" t="s">
        <v>2012</v>
      </c>
      <c r="K197" s="956"/>
      <c r="L197" s="719"/>
      <c r="M197" s="720"/>
      <c r="N197" s="721"/>
      <c r="O197" s="956"/>
      <c r="P197" s="956"/>
      <c r="Q197" s="956"/>
      <c r="R197" s="722"/>
      <c r="S197" s="956"/>
      <c r="T197" s="957">
        <v>1</v>
      </c>
      <c r="U197" s="725">
        <f>SUM(E197:G197)</f>
        <v>0</v>
      </c>
      <c r="V197" s="922">
        <f t="shared" si="89"/>
        <v>0</v>
      </c>
      <c r="W197" s="743">
        <v>0.05</v>
      </c>
      <c r="X197" s="716">
        <v>0.2</v>
      </c>
      <c r="Y197" s="754"/>
      <c r="Z197" s="933"/>
      <c r="AA197" s="933"/>
      <c r="AB197" s="730" t="e">
        <f t="shared" si="63"/>
        <v>#DIV/0!</v>
      </c>
      <c r="AC197" s="934"/>
      <c r="AD197" s="935" t="e">
        <f t="shared" si="65"/>
        <v>#DIV/0!</v>
      </c>
      <c r="AE197" s="936">
        <f t="shared" si="66"/>
        <v>0</v>
      </c>
      <c r="AF197" s="936"/>
      <c r="AG197" s="936"/>
      <c r="AH197" s="734" t="e">
        <f t="shared" si="67"/>
        <v>#DIV/0!</v>
      </c>
      <c r="AI197" s="754">
        <v>10000000</v>
      </c>
      <c r="AJ197" s="849">
        <f t="shared" si="71"/>
        <v>0</v>
      </c>
      <c r="AK197" s="850">
        <f t="shared" si="68"/>
        <v>0</v>
      </c>
      <c r="AL197" s="845"/>
      <c r="AM197" s="738" t="s">
        <v>1325</v>
      </c>
      <c r="AN197" s="884"/>
      <c r="AO197" s="1266"/>
      <c r="AP197" s="741"/>
      <c r="AQ197" s="741"/>
    </row>
    <row r="198" spans="1:43" ht="143.25" customHeight="1">
      <c r="A198" s="710" t="s">
        <v>2013</v>
      </c>
      <c r="B198" s="912" t="s">
        <v>2014</v>
      </c>
      <c r="C198" s="1000">
        <v>0.1</v>
      </c>
      <c r="D198" s="1001">
        <v>0.2</v>
      </c>
      <c r="E198" s="751">
        <v>0.1</v>
      </c>
      <c r="F198" s="732">
        <v>0.1</v>
      </c>
      <c r="G198" s="715"/>
      <c r="H198" s="717">
        <f t="shared" ref="H198" si="91">IF((E198+G198)/C198&gt;=100%,100%,(E198+G198)/C198)</f>
        <v>1</v>
      </c>
      <c r="I198" s="717">
        <f t="shared" si="90"/>
        <v>0.5</v>
      </c>
      <c r="J198" s="956" t="s">
        <v>2015</v>
      </c>
      <c r="K198" s="956"/>
      <c r="L198" s="719"/>
      <c r="M198" s="720"/>
      <c r="N198" s="721"/>
      <c r="O198" s="956"/>
      <c r="P198" s="956"/>
      <c r="Q198" s="956"/>
      <c r="R198" s="722"/>
      <c r="S198" s="956"/>
      <c r="T198" s="847">
        <v>0.35</v>
      </c>
      <c r="U198" s="752">
        <f>+F198</f>
        <v>0.1</v>
      </c>
      <c r="V198" s="924">
        <f t="shared" si="89"/>
        <v>0.28571428571428575</v>
      </c>
      <c r="W198" s="743">
        <v>0.41</v>
      </c>
      <c r="X198" s="716">
        <v>0.2</v>
      </c>
      <c r="Y198" s="754"/>
      <c r="Z198" s="933"/>
      <c r="AA198" s="933"/>
      <c r="AB198" s="730" t="e">
        <f t="shared" si="63"/>
        <v>#DIV/0!</v>
      </c>
      <c r="AC198" s="934"/>
      <c r="AD198" s="935" t="e">
        <f t="shared" si="65"/>
        <v>#DIV/0!</v>
      </c>
      <c r="AE198" s="936">
        <f t="shared" si="66"/>
        <v>0</v>
      </c>
      <c r="AF198" s="936"/>
      <c r="AG198" s="936"/>
      <c r="AH198" s="734" t="e">
        <f t="shared" si="67"/>
        <v>#DIV/0!</v>
      </c>
      <c r="AI198" s="754">
        <v>520000000</v>
      </c>
      <c r="AJ198" s="849">
        <f t="shared" si="71"/>
        <v>0</v>
      </c>
      <c r="AK198" s="850">
        <f t="shared" si="68"/>
        <v>0</v>
      </c>
      <c r="AL198" s="845"/>
      <c r="AM198" s="738" t="s">
        <v>1325</v>
      </c>
      <c r="AN198" s="884"/>
      <c r="AO198" s="740" t="s">
        <v>1786</v>
      </c>
      <c r="AP198" s="741"/>
      <c r="AQ198" s="741"/>
    </row>
    <row r="199" spans="1:43" ht="216.75">
      <c r="A199" s="710" t="s">
        <v>2016</v>
      </c>
      <c r="B199" s="912" t="s">
        <v>2017</v>
      </c>
      <c r="C199" s="1006">
        <v>0</v>
      </c>
      <c r="D199" s="1007">
        <v>1</v>
      </c>
      <c r="E199" s="714">
        <v>0</v>
      </c>
      <c r="F199" s="715">
        <v>1</v>
      </c>
      <c r="G199" s="715"/>
      <c r="H199" s="717" t="s">
        <v>1536</v>
      </c>
      <c r="I199" s="717">
        <f t="shared" si="90"/>
        <v>1</v>
      </c>
      <c r="J199" s="956" t="s">
        <v>2018</v>
      </c>
      <c r="K199" s="956"/>
      <c r="L199" s="719"/>
      <c r="M199" s="720"/>
      <c r="N199" s="721"/>
      <c r="O199" s="956"/>
      <c r="P199" s="956"/>
      <c r="Q199" s="956"/>
      <c r="R199" s="722"/>
      <c r="S199" s="956"/>
      <c r="T199" s="957">
        <v>2</v>
      </c>
      <c r="U199" s="725">
        <f>SUM(E199:G199)</f>
        <v>1</v>
      </c>
      <c r="V199" s="922">
        <f t="shared" si="89"/>
        <v>0.5</v>
      </c>
      <c r="W199" s="743">
        <v>0.09</v>
      </c>
      <c r="X199" s="716">
        <v>0.1</v>
      </c>
      <c r="Y199" s="754"/>
      <c r="Z199" s="933"/>
      <c r="AA199" s="933"/>
      <c r="AB199" s="730" t="e">
        <f t="shared" si="63"/>
        <v>#DIV/0!</v>
      </c>
      <c r="AC199" s="934"/>
      <c r="AD199" s="935" t="e">
        <f t="shared" si="65"/>
        <v>#DIV/0!</v>
      </c>
      <c r="AE199" s="936">
        <f t="shared" si="66"/>
        <v>0</v>
      </c>
      <c r="AF199" s="936"/>
      <c r="AG199" s="936"/>
      <c r="AH199" s="734" t="e">
        <f t="shared" si="67"/>
        <v>#DIV/0!</v>
      </c>
      <c r="AI199" s="754">
        <v>30000000</v>
      </c>
      <c r="AJ199" s="849">
        <f t="shared" si="71"/>
        <v>0</v>
      </c>
      <c r="AK199" s="850">
        <f t="shared" si="68"/>
        <v>0</v>
      </c>
      <c r="AL199" s="845"/>
      <c r="AM199" s="738" t="s">
        <v>1325</v>
      </c>
      <c r="AN199" s="884"/>
      <c r="AO199" s="740" t="s">
        <v>2019</v>
      </c>
      <c r="AP199" s="741"/>
      <c r="AQ199" s="741"/>
    </row>
    <row r="200" spans="1:43" ht="160.5" customHeight="1">
      <c r="A200" s="710" t="s">
        <v>2020</v>
      </c>
      <c r="B200" s="912" t="s">
        <v>2021</v>
      </c>
      <c r="C200" s="1006">
        <v>0</v>
      </c>
      <c r="D200" s="1007">
        <v>1</v>
      </c>
      <c r="E200" s="714">
        <v>0</v>
      </c>
      <c r="F200" s="715">
        <v>0</v>
      </c>
      <c r="G200" s="715"/>
      <c r="H200" s="717" t="s">
        <v>1536</v>
      </c>
      <c r="I200" s="717">
        <f t="shared" si="90"/>
        <v>0</v>
      </c>
      <c r="J200" s="956" t="s">
        <v>2012</v>
      </c>
      <c r="K200" s="956"/>
      <c r="L200" s="719"/>
      <c r="M200" s="720"/>
      <c r="N200" s="721"/>
      <c r="O200" s="956"/>
      <c r="P200" s="956"/>
      <c r="Q200" s="956"/>
      <c r="R200" s="722"/>
      <c r="S200" s="956"/>
      <c r="T200" s="957">
        <v>3</v>
      </c>
      <c r="U200" s="725">
        <f>SUM(E200:G200)</f>
        <v>0</v>
      </c>
      <c r="V200" s="922">
        <f t="shared" si="89"/>
        <v>0</v>
      </c>
      <c r="W200" s="743">
        <v>0.18</v>
      </c>
      <c r="X200" s="716">
        <v>0.1</v>
      </c>
      <c r="Y200" s="754"/>
      <c r="Z200" s="933"/>
      <c r="AA200" s="933"/>
      <c r="AB200" s="730" t="e">
        <f t="shared" ref="AB200:AB223" si="92">+AA200/Y200</f>
        <v>#DIV/0!</v>
      </c>
      <c r="AC200" s="934"/>
      <c r="AD200" s="935" t="e">
        <f t="shared" si="65"/>
        <v>#DIV/0!</v>
      </c>
      <c r="AE200" s="936">
        <f t="shared" si="66"/>
        <v>0</v>
      </c>
      <c r="AF200" s="936"/>
      <c r="AG200" s="936"/>
      <c r="AH200" s="734" t="e">
        <f t="shared" si="67"/>
        <v>#DIV/0!</v>
      </c>
      <c r="AI200" s="754">
        <v>700000000</v>
      </c>
      <c r="AJ200" s="849">
        <f t="shared" si="71"/>
        <v>0</v>
      </c>
      <c r="AK200" s="850">
        <f t="shared" si="68"/>
        <v>0</v>
      </c>
      <c r="AL200" s="845"/>
      <c r="AM200" s="738" t="s">
        <v>1325</v>
      </c>
      <c r="AN200" s="884"/>
      <c r="AO200" s="740" t="s">
        <v>2022</v>
      </c>
      <c r="AP200" s="741"/>
      <c r="AQ200" s="741"/>
    </row>
    <row r="201" spans="1:43" s="709" customFormat="1" ht="88.5" customHeight="1">
      <c r="A201" s="687" t="s">
        <v>2023</v>
      </c>
      <c r="B201" s="688"/>
      <c r="C201" s="689"/>
      <c r="D201" s="690"/>
      <c r="E201" s="689"/>
      <c r="F201" s="691"/>
      <c r="G201" s="691"/>
      <c r="H201" s="693">
        <f>+(H202*50%)+(H203*50%)</f>
        <v>1</v>
      </c>
      <c r="I201" s="693">
        <f>+SUMPRODUCT(I202:I204,X202:X204)</f>
        <v>0.99999999999999989</v>
      </c>
      <c r="J201" s="951"/>
      <c r="K201" s="951"/>
      <c r="L201" s="694"/>
      <c r="M201" s="688"/>
      <c r="N201" s="688"/>
      <c r="O201" s="951"/>
      <c r="P201" s="951"/>
      <c r="Q201" s="951"/>
      <c r="R201" s="770"/>
      <c r="S201" s="951"/>
      <c r="T201" s="952"/>
      <c r="U201" s="697"/>
      <c r="V201" s="693">
        <f>+SUMPRODUCT(V202:V204,W202:W204)</f>
        <v>0.73333333333333328</v>
      </c>
      <c r="W201" s="693">
        <v>0.15</v>
      </c>
      <c r="X201" s="693">
        <v>0.15</v>
      </c>
      <c r="Y201" s="699">
        <v>400000000</v>
      </c>
      <c r="Z201" s="699">
        <v>61321400</v>
      </c>
      <c r="AA201" s="699">
        <v>108965500</v>
      </c>
      <c r="AB201" s="700">
        <f t="shared" si="92"/>
        <v>0.27241375000000001</v>
      </c>
      <c r="AC201" s="699">
        <v>8965500</v>
      </c>
      <c r="AD201" s="838">
        <f t="shared" ref="AD201:AD223" si="93">+AC201/Y201</f>
        <v>2.241375E-2</v>
      </c>
      <c r="AE201" s="927">
        <f t="shared" ref="AE201:AE223" si="94">+AA201-AC201</f>
        <v>100000000</v>
      </c>
      <c r="AF201" s="927">
        <v>60000000</v>
      </c>
      <c r="AG201" s="927">
        <v>60000000</v>
      </c>
      <c r="AH201" s="703">
        <f t="shared" ref="AH201:AH223" si="95">+AG201/AF201</f>
        <v>1</v>
      </c>
      <c r="AI201" s="699">
        <f>SUM(AI202:AI204)</f>
        <v>1150000000</v>
      </c>
      <c r="AJ201" s="699">
        <f>+SUM(Z201:AA201)</f>
        <v>170286900</v>
      </c>
      <c r="AK201" s="838">
        <f t="shared" ref="AK201:AK222" si="96">+AJ201/AI201</f>
        <v>0.14807556521739129</v>
      </c>
      <c r="AL201" s="834"/>
      <c r="AM201" s="705" t="s">
        <v>1325</v>
      </c>
      <c r="AN201" s="706"/>
      <c r="AO201" s="707"/>
      <c r="AP201" s="708"/>
      <c r="AQ201" s="708"/>
    </row>
    <row r="202" spans="1:43" ht="191.25" customHeight="1">
      <c r="A202" s="710" t="s">
        <v>2024</v>
      </c>
      <c r="B202" s="912" t="s">
        <v>2025</v>
      </c>
      <c r="C202" s="988">
        <v>1</v>
      </c>
      <c r="D202" s="989">
        <v>3</v>
      </c>
      <c r="E202" s="714">
        <v>1</v>
      </c>
      <c r="F202" s="715">
        <v>3</v>
      </c>
      <c r="G202" s="715"/>
      <c r="H202" s="717">
        <f t="shared" ref="H202:H203" si="97">IF((E202+G202)/C202&gt;=100%,100%,(E202+G202)/C202)</f>
        <v>1</v>
      </c>
      <c r="I202" s="717">
        <f>IF(F202/D202&gt;=100%,100%,F202/D202)</f>
        <v>1</v>
      </c>
      <c r="J202" s="956" t="s">
        <v>2026</v>
      </c>
      <c r="K202" s="956"/>
      <c r="L202" s="719"/>
      <c r="M202" s="720"/>
      <c r="N202" s="721"/>
      <c r="O202" s="956"/>
      <c r="P202" s="956"/>
      <c r="Q202" s="956"/>
      <c r="R202" s="722"/>
      <c r="S202" s="956"/>
      <c r="T202" s="957">
        <v>3</v>
      </c>
      <c r="U202" s="725">
        <f>SUM(E202:G202)</f>
        <v>4</v>
      </c>
      <c r="V202" s="922">
        <f t="shared" ref="V202:V204" si="98">IF(U202/T202&gt;=100%,100%,U202/T202)</f>
        <v>1</v>
      </c>
      <c r="W202" s="743">
        <v>0.2</v>
      </c>
      <c r="X202" s="716">
        <v>0.3</v>
      </c>
      <c r="Y202" s="754"/>
      <c r="Z202" s="933"/>
      <c r="AA202" s="933"/>
      <c r="AB202" s="730" t="e">
        <f t="shared" si="92"/>
        <v>#DIV/0!</v>
      </c>
      <c r="AC202" s="934"/>
      <c r="AD202" s="935" t="e">
        <f t="shared" si="93"/>
        <v>#DIV/0!</v>
      </c>
      <c r="AE202" s="936">
        <f t="shared" si="94"/>
        <v>0</v>
      </c>
      <c r="AF202" s="936"/>
      <c r="AG202" s="936"/>
      <c r="AH202" s="734" t="e">
        <f t="shared" si="95"/>
        <v>#DIV/0!</v>
      </c>
      <c r="AI202" s="754">
        <v>170000000</v>
      </c>
      <c r="AJ202" s="849">
        <f t="shared" si="71"/>
        <v>0</v>
      </c>
      <c r="AK202" s="850">
        <f t="shared" si="96"/>
        <v>0</v>
      </c>
      <c r="AL202" s="845"/>
      <c r="AM202" s="738" t="s">
        <v>1325</v>
      </c>
      <c r="AN202" s="884"/>
      <c r="AO202" s="740" t="s">
        <v>1591</v>
      </c>
      <c r="AP202" s="741"/>
      <c r="AQ202" s="741"/>
    </row>
    <row r="203" spans="1:43" ht="84" customHeight="1">
      <c r="A203" s="710" t="s">
        <v>2027</v>
      </c>
      <c r="B203" s="912" t="s">
        <v>2028</v>
      </c>
      <c r="C203" s="988">
        <v>1</v>
      </c>
      <c r="D203" s="989">
        <v>1</v>
      </c>
      <c r="E203" s="916">
        <v>0.5</v>
      </c>
      <c r="F203" s="715">
        <v>1</v>
      </c>
      <c r="G203" s="914">
        <v>0.5</v>
      </c>
      <c r="H203" s="1016">
        <f t="shared" si="97"/>
        <v>1</v>
      </c>
      <c r="I203" s="717">
        <f>IF(F203/D203&gt;=100%,100%,F203/D203)</f>
        <v>1</v>
      </c>
      <c r="J203" s="956" t="s">
        <v>2029</v>
      </c>
      <c r="K203" s="956"/>
      <c r="L203" s="719"/>
      <c r="M203" s="720"/>
      <c r="N203" s="721"/>
      <c r="O203" s="956"/>
      <c r="P203" s="956"/>
      <c r="Q203" s="956"/>
      <c r="R203" s="722"/>
      <c r="S203" s="956"/>
      <c r="T203" s="957">
        <v>3</v>
      </c>
      <c r="U203" s="725">
        <f>SUM(E203:G203)</f>
        <v>2</v>
      </c>
      <c r="V203" s="922">
        <f t="shared" si="98"/>
        <v>0.66666666666666663</v>
      </c>
      <c r="W203" s="743">
        <v>0.46</v>
      </c>
      <c r="X203" s="716">
        <v>0.35</v>
      </c>
      <c r="Y203" s="754"/>
      <c r="Z203" s="933"/>
      <c r="AA203" s="933"/>
      <c r="AB203" s="730" t="e">
        <f t="shared" si="92"/>
        <v>#DIV/0!</v>
      </c>
      <c r="AC203" s="934"/>
      <c r="AD203" s="935" t="e">
        <f t="shared" si="93"/>
        <v>#DIV/0!</v>
      </c>
      <c r="AE203" s="936">
        <f t="shared" si="94"/>
        <v>0</v>
      </c>
      <c r="AF203" s="936"/>
      <c r="AG203" s="936"/>
      <c r="AH203" s="734" t="e">
        <f t="shared" si="95"/>
        <v>#DIV/0!</v>
      </c>
      <c r="AI203" s="754">
        <v>575000000</v>
      </c>
      <c r="AJ203" s="849">
        <f t="shared" si="71"/>
        <v>0</v>
      </c>
      <c r="AK203" s="850">
        <f t="shared" si="96"/>
        <v>0</v>
      </c>
      <c r="AL203" s="845"/>
      <c r="AM203" s="738" t="s">
        <v>1325</v>
      </c>
      <c r="AN203" s="884"/>
      <c r="AO203" s="1264" t="s">
        <v>1591</v>
      </c>
      <c r="AP203" s="741"/>
      <c r="AQ203" s="741"/>
    </row>
    <row r="204" spans="1:43" ht="99" customHeight="1" thickBot="1">
      <c r="A204" s="710" t="s">
        <v>2030</v>
      </c>
      <c r="B204" s="912" t="s">
        <v>2031</v>
      </c>
      <c r="C204" s="988">
        <v>0</v>
      </c>
      <c r="D204" s="989">
        <v>1</v>
      </c>
      <c r="E204" s="714">
        <v>0</v>
      </c>
      <c r="F204" s="715">
        <v>2</v>
      </c>
      <c r="G204" s="715"/>
      <c r="H204" s="717" t="s">
        <v>1536</v>
      </c>
      <c r="I204" s="717">
        <f>IF(F204/D204&gt;=100%,100%,F204/D204)</f>
        <v>1</v>
      </c>
      <c r="J204" s="956" t="s">
        <v>2032</v>
      </c>
      <c r="K204" s="956"/>
      <c r="L204" s="1012"/>
      <c r="M204" s="1009"/>
      <c r="N204" s="721"/>
      <c r="O204" s="956"/>
      <c r="P204" s="956"/>
      <c r="Q204" s="956"/>
      <c r="R204" s="722"/>
      <c r="S204" s="956"/>
      <c r="T204" s="957">
        <v>3</v>
      </c>
      <c r="U204" s="725">
        <f>SUM(E204:G204)</f>
        <v>2</v>
      </c>
      <c r="V204" s="922">
        <f t="shared" si="98"/>
        <v>0.66666666666666663</v>
      </c>
      <c r="W204" s="743">
        <v>0.34</v>
      </c>
      <c r="X204" s="716">
        <v>0.35</v>
      </c>
      <c r="Y204" s="754"/>
      <c r="Z204" s="933"/>
      <c r="AA204" s="933"/>
      <c r="AB204" s="730" t="e">
        <f t="shared" si="92"/>
        <v>#DIV/0!</v>
      </c>
      <c r="AC204" s="934"/>
      <c r="AD204" s="935" t="e">
        <f t="shared" si="93"/>
        <v>#DIV/0!</v>
      </c>
      <c r="AE204" s="936">
        <f t="shared" si="94"/>
        <v>0</v>
      </c>
      <c r="AF204" s="936"/>
      <c r="AG204" s="936"/>
      <c r="AH204" s="734" t="e">
        <f t="shared" si="95"/>
        <v>#DIV/0!</v>
      </c>
      <c r="AI204" s="754">
        <v>405000000</v>
      </c>
      <c r="AJ204" s="849">
        <f t="shared" si="71"/>
        <v>0</v>
      </c>
      <c r="AK204" s="850">
        <f t="shared" si="96"/>
        <v>0</v>
      </c>
      <c r="AL204" s="845"/>
      <c r="AM204" s="738" t="s">
        <v>1325</v>
      </c>
      <c r="AN204" s="884"/>
      <c r="AO204" s="1266"/>
      <c r="AP204" s="741"/>
      <c r="AQ204" s="741"/>
    </row>
    <row r="205" spans="1:43" s="709" customFormat="1" ht="54" customHeight="1">
      <c r="A205" s="687" t="s">
        <v>2087</v>
      </c>
      <c r="B205" s="688"/>
      <c r="C205" s="689"/>
      <c r="D205" s="690"/>
      <c r="E205" s="689"/>
      <c r="F205" s="691"/>
      <c r="G205" s="691"/>
      <c r="H205" s="693">
        <f>+SUMPRODUCT(H206:H209,W206:W209)</f>
        <v>1</v>
      </c>
      <c r="I205" s="693">
        <f>+SUMPRODUCT(I206:I209,X206:X209)</f>
        <v>0.98499999999999988</v>
      </c>
      <c r="J205" s="951"/>
      <c r="K205" s="951"/>
      <c r="L205" s="694"/>
      <c r="M205" s="688"/>
      <c r="N205" s="688"/>
      <c r="O205" s="951"/>
      <c r="P205" s="951"/>
      <c r="Q205" s="951"/>
      <c r="R205" s="770"/>
      <c r="S205" s="951"/>
      <c r="T205" s="952"/>
      <c r="U205" s="1010"/>
      <c r="V205" s="676">
        <f>+SUMPRODUCT(V206:V209,W206:W209)</f>
        <v>0.5</v>
      </c>
      <c r="W205" s="693">
        <v>0.1</v>
      </c>
      <c r="X205" s="693">
        <v>0.1</v>
      </c>
      <c r="Y205" s="699">
        <v>284000000</v>
      </c>
      <c r="Z205" s="699">
        <v>456749342.13</v>
      </c>
      <c r="AA205" s="699">
        <v>230822146</v>
      </c>
      <c r="AB205" s="700">
        <f t="shared" si="92"/>
        <v>0.81275403521126766</v>
      </c>
      <c r="AC205" s="699">
        <v>229322146</v>
      </c>
      <c r="AD205" s="838">
        <f t="shared" si="93"/>
        <v>0.80747234507042254</v>
      </c>
      <c r="AE205" s="927">
        <f t="shared" si="94"/>
        <v>1500000</v>
      </c>
      <c r="AF205" s="927">
        <v>45850700</v>
      </c>
      <c r="AG205" s="927">
        <v>45850700</v>
      </c>
      <c r="AH205" s="703">
        <f t="shared" si="95"/>
        <v>1</v>
      </c>
      <c r="AI205" s="699">
        <f>SUM(AI206:AI209)</f>
        <v>1200000000</v>
      </c>
      <c r="AJ205" s="699">
        <f>SUM(AJ206:AJ209)</f>
        <v>0</v>
      </c>
      <c r="AK205" s="838">
        <f t="shared" si="96"/>
        <v>0</v>
      </c>
      <c r="AL205" s="834"/>
      <c r="AM205" s="705"/>
      <c r="AN205" s="706"/>
      <c r="AO205" s="707"/>
      <c r="AP205" s="708"/>
      <c r="AQ205" s="708"/>
    </row>
    <row r="206" spans="1:43" ht="65.25" customHeight="1">
      <c r="A206" s="710" t="s">
        <v>2033</v>
      </c>
      <c r="B206" s="987" t="s">
        <v>2034</v>
      </c>
      <c r="C206" s="1000">
        <v>0.4</v>
      </c>
      <c r="D206" s="1001">
        <v>1</v>
      </c>
      <c r="E206" s="751">
        <v>0.2</v>
      </c>
      <c r="F206" s="732">
        <v>0.95</v>
      </c>
      <c r="G206" s="732">
        <v>0.2</v>
      </c>
      <c r="H206" s="1016">
        <f t="shared" ref="H206:H209" si="99">IF((E206+G206)/C206&gt;=100%,100%,(E206+G206)/C206)</f>
        <v>1</v>
      </c>
      <c r="I206" s="717">
        <f t="shared" ref="I206:I209" si="100">IF(F206/D206&gt;=100%,100%,F206/D206)</f>
        <v>0.95</v>
      </c>
      <c r="J206" s="956" t="s">
        <v>2035</v>
      </c>
      <c r="K206" s="956"/>
      <c r="L206" s="719"/>
      <c r="M206" s="720"/>
      <c r="N206" s="721"/>
      <c r="O206" s="956"/>
      <c r="P206" s="956"/>
      <c r="Q206" s="956"/>
      <c r="R206" s="722"/>
      <c r="S206" s="956"/>
      <c r="T206" s="847">
        <v>1</v>
      </c>
      <c r="U206" s="752">
        <f>+F206</f>
        <v>0.95</v>
      </c>
      <c r="V206" s="924">
        <v>0.5</v>
      </c>
      <c r="W206" s="743">
        <v>0.3</v>
      </c>
      <c r="X206" s="716">
        <v>0.3</v>
      </c>
      <c r="Y206" s="754"/>
      <c r="Z206" s="933"/>
      <c r="AA206" s="933"/>
      <c r="AB206" s="730" t="e">
        <f t="shared" si="92"/>
        <v>#DIV/0!</v>
      </c>
      <c r="AC206" s="934"/>
      <c r="AD206" s="935" t="e">
        <f t="shared" si="93"/>
        <v>#DIV/0!</v>
      </c>
      <c r="AE206" s="936">
        <f t="shared" si="94"/>
        <v>0</v>
      </c>
      <c r="AF206" s="936"/>
      <c r="AG206" s="936"/>
      <c r="AH206" s="734" t="e">
        <f t="shared" si="95"/>
        <v>#DIV/0!</v>
      </c>
      <c r="AI206" s="754">
        <v>165000000</v>
      </c>
      <c r="AJ206" s="849">
        <f t="shared" ref="AJ206:AJ222" si="101">+SUM(Z206:AA206)</f>
        <v>0</v>
      </c>
      <c r="AK206" s="850">
        <f t="shared" si="96"/>
        <v>0</v>
      </c>
      <c r="AL206" s="845"/>
      <c r="AM206" s="738" t="s">
        <v>1325</v>
      </c>
      <c r="AN206" s="884"/>
      <c r="AO206" s="1264" t="s">
        <v>1591</v>
      </c>
      <c r="AP206" s="741"/>
      <c r="AQ206" s="741"/>
    </row>
    <row r="207" spans="1:43" ht="56.25" customHeight="1">
      <c r="A207" s="710" t="s">
        <v>2036</v>
      </c>
      <c r="B207" s="912" t="s">
        <v>2037</v>
      </c>
      <c r="C207" s="1000">
        <v>0.9</v>
      </c>
      <c r="D207" s="1001">
        <v>1</v>
      </c>
      <c r="E207" s="751">
        <v>1</v>
      </c>
      <c r="F207" s="732">
        <v>1</v>
      </c>
      <c r="G207" s="715"/>
      <c r="H207" s="717">
        <f t="shared" si="99"/>
        <v>1</v>
      </c>
      <c r="I207" s="717">
        <f t="shared" si="100"/>
        <v>1</v>
      </c>
      <c r="J207" s="956" t="s">
        <v>2038</v>
      </c>
      <c r="K207" s="956"/>
      <c r="L207" s="719"/>
      <c r="M207" s="720"/>
      <c r="N207" s="721"/>
      <c r="O207" s="956"/>
      <c r="P207" s="956"/>
      <c r="Q207" s="956"/>
      <c r="R207" s="722"/>
      <c r="S207" s="956"/>
      <c r="T207" s="847">
        <v>1</v>
      </c>
      <c r="U207" s="752">
        <f>+F207</f>
        <v>1</v>
      </c>
      <c r="V207" s="924">
        <v>0.5</v>
      </c>
      <c r="W207" s="743">
        <v>0.3</v>
      </c>
      <c r="X207" s="716">
        <v>0.3</v>
      </c>
      <c r="Y207" s="754"/>
      <c r="Z207" s="933"/>
      <c r="AA207" s="933"/>
      <c r="AB207" s="730" t="e">
        <f t="shared" si="92"/>
        <v>#DIV/0!</v>
      </c>
      <c r="AC207" s="934"/>
      <c r="AD207" s="935" t="e">
        <f t="shared" si="93"/>
        <v>#DIV/0!</v>
      </c>
      <c r="AE207" s="936">
        <f t="shared" si="94"/>
        <v>0</v>
      </c>
      <c r="AF207" s="936"/>
      <c r="AG207" s="936"/>
      <c r="AH207" s="734" t="e">
        <f t="shared" si="95"/>
        <v>#DIV/0!</v>
      </c>
      <c r="AI207" s="754">
        <v>165000000</v>
      </c>
      <c r="AJ207" s="849">
        <f t="shared" si="101"/>
        <v>0</v>
      </c>
      <c r="AK207" s="850">
        <f t="shared" si="96"/>
        <v>0</v>
      </c>
      <c r="AL207" s="845"/>
      <c r="AM207" s="738" t="s">
        <v>1325</v>
      </c>
      <c r="AN207" s="884"/>
      <c r="AO207" s="1265"/>
      <c r="AP207" s="741"/>
      <c r="AQ207" s="741"/>
    </row>
    <row r="208" spans="1:43" ht="51.75" thickBot="1">
      <c r="A208" s="710" t="s">
        <v>2039</v>
      </c>
      <c r="B208" s="912" t="s">
        <v>2040</v>
      </c>
      <c r="C208" s="1000">
        <v>0.7</v>
      </c>
      <c r="D208" s="1001">
        <v>0.8</v>
      </c>
      <c r="E208" s="751">
        <v>1</v>
      </c>
      <c r="F208" s="732">
        <v>0.8</v>
      </c>
      <c r="G208" s="715"/>
      <c r="H208" s="717">
        <f t="shared" si="99"/>
        <v>1</v>
      </c>
      <c r="I208" s="717">
        <f t="shared" si="100"/>
        <v>1</v>
      </c>
      <c r="J208" s="956" t="s">
        <v>2041</v>
      </c>
      <c r="K208" s="956"/>
      <c r="L208" s="1012"/>
      <c r="M208" s="1009"/>
      <c r="N208" s="721"/>
      <c r="O208" s="956"/>
      <c r="P208" s="956"/>
      <c r="Q208" s="956"/>
      <c r="R208" s="722"/>
      <c r="S208" s="956"/>
      <c r="T208" s="847">
        <v>1</v>
      </c>
      <c r="U208" s="752">
        <f>+F208</f>
        <v>0.8</v>
      </c>
      <c r="V208" s="924">
        <v>0.5</v>
      </c>
      <c r="W208" s="743">
        <v>0.2</v>
      </c>
      <c r="X208" s="716">
        <v>0.2</v>
      </c>
      <c r="Y208" s="754"/>
      <c r="Z208" s="933"/>
      <c r="AA208" s="933"/>
      <c r="AB208" s="730" t="e">
        <f t="shared" si="92"/>
        <v>#DIV/0!</v>
      </c>
      <c r="AC208" s="934"/>
      <c r="AD208" s="935" t="e">
        <f t="shared" si="93"/>
        <v>#DIV/0!</v>
      </c>
      <c r="AE208" s="936">
        <f t="shared" si="94"/>
        <v>0</v>
      </c>
      <c r="AF208" s="936"/>
      <c r="AG208" s="936"/>
      <c r="AH208" s="734" t="e">
        <f t="shared" si="95"/>
        <v>#DIV/0!</v>
      </c>
      <c r="AI208" s="754">
        <v>260000000</v>
      </c>
      <c r="AJ208" s="849">
        <f t="shared" si="101"/>
        <v>0</v>
      </c>
      <c r="AK208" s="850">
        <f t="shared" si="96"/>
        <v>0</v>
      </c>
      <c r="AL208" s="845"/>
      <c r="AM208" s="738" t="s">
        <v>1325</v>
      </c>
      <c r="AN208" s="884"/>
      <c r="AO208" s="1265"/>
      <c r="AP208" s="741"/>
      <c r="AQ208" s="741"/>
    </row>
    <row r="209" spans="1:43" ht="162" customHeight="1">
      <c r="A209" s="710" t="s">
        <v>2042</v>
      </c>
      <c r="B209" s="912" t="s">
        <v>2043</v>
      </c>
      <c r="C209" s="1000">
        <v>0.2</v>
      </c>
      <c r="D209" s="1001">
        <v>0.4</v>
      </c>
      <c r="E209" s="751">
        <v>0.2</v>
      </c>
      <c r="F209" s="732">
        <v>0.4</v>
      </c>
      <c r="G209" s="715"/>
      <c r="H209" s="717">
        <f t="shared" si="99"/>
        <v>1</v>
      </c>
      <c r="I209" s="717">
        <f t="shared" si="100"/>
        <v>1</v>
      </c>
      <c r="J209" s="956" t="s">
        <v>2044</v>
      </c>
      <c r="K209" s="956"/>
      <c r="L209" s="1013"/>
      <c r="M209" s="1014"/>
      <c r="N209" s="721"/>
      <c r="O209" s="956"/>
      <c r="P209" s="956"/>
      <c r="Q209" s="956"/>
      <c r="R209" s="722"/>
      <c r="S209" s="956"/>
      <c r="T209" s="847">
        <v>0.6</v>
      </c>
      <c r="U209" s="752">
        <f>+F209</f>
        <v>0.4</v>
      </c>
      <c r="V209" s="924">
        <v>0.5</v>
      </c>
      <c r="W209" s="743">
        <v>0.2</v>
      </c>
      <c r="X209" s="716">
        <v>0.2</v>
      </c>
      <c r="Y209" s="754"/>
      <c r="Z209" s="933"/>
      <c r="AA209" s="933"/>
      <c r="AB209" s="730" t="e">
        <f t="shared" si="92"/>
        <v>#DIV/0!</v>
      </c>
      <c r="AC209" s="934"/>
      <c r="AD209" s="935" t="e">
        <f t="shared" si="93"/>
        <v>#DIV/0!</v>
      </c>
      <c r="AE209" s="936">
        <f t="shared" si="94"/>
        <v>0</v>
      </c>
      <c r="AF209" s="936"/>
      <c r="AG209" s="936"/>
      <c r="AH209" s="734" t="e">
        <f t="shared" si="95"/>
        <v>#DIV/0!</v>
      </c>
      <c r="AI209" s="754">
        <v>610000000</v>
      </c>
      <c r="AJ209" s="849">
        <f t="shared" si="101"/>
        <v>0</v>
      </c>
      <c r="AK209" s="850">
        <f t="shared" si="96"/>
        <v>0</v>
      </c>
      <c r="AL209" s="845"/>
      <c r="AM209" s="738" t="s">
        <v>1325</v>
      </c>
      <c r="AN209" s="884"/>
      <c r="AO209" s="1266"/>
      <c r="AP209" s="741"/>
      <c r="AQ209" s="741"/>
    </row>
    <row r="210" spans="1:43" s="709" customFormat="1" ht="25.5">
      <c r="A210" s="666" t="s">
        <v>2045</v>
      </c>
      <c r="B210" s="783"/>
      <c r="C210" s="784"/>
      <c r="D210" s="785"/>
      <c r="E210" s="784"/>
      <c r="F210" s="786"/>
      <c r="G210" s="786"/>
      <c r="H210" s="671">
        <f>+(H211*W211)+(H218*W218)</f>
        <v>1</v>
      </c>
      <c r="I210" s="671">
        <f>+(I211*X211)+(I218*X218)</f>
        <v>1</v>
      </c>
      <c r="J210" s="948"/>
      <c r="K210" s="948"/>
      <c r="L210" s="787"/>
      <c r="M210" s="783"/>
      <c r="N210" s="783"/>
      <c r="O210" s="948"/>
      <c r="P210" s="948"/>
      <c r="Q210" s="948"/>
      <c r="R210" s="789"/>
      <c r="S210" s="948"/>
      <c r="T210" s="949"/>
      <c r="U210" s="792"/>
      <c r="V210" s="1017">
        <f>+(V211*W211)+(V218*W218)</f>
        <v>0.49732142857142853</v>
      </c>
      <c r="W210" s="671">
        <v>0.5</v>
      </c>
      <c r="X210" s="671">
        <v>0.5</v>
      </c>
      <c r="Y210" s="678">
        <f>+Y211+Y218</f>
        <v>363000000</v>
      </c>
      <c r="Z210" s="678">
        <f>+Z211+Z218</f>
        <v>174910500</v>
      </c>
      <c r="AA210" s="678">
        <f>+AA211+AA218</f>
        <v>300264716</v>
      </c>
      <c r="AB210" s="679">
        <f t="shared" si="92"/>
        <v>0.82717552617079892</v>
      </c>
      <c r="AC210" s="678">
        <f>+AC211+AC218</f>
        <v>177339000</v>
      </c>
      <c r="AD210" s="831">
        <f t="shared" si="93"/>
        <v>0.48853719008264462</v>
      </c>
      <c r="AE210" s="950">
        <f t="shared" si="94"/>
        <v>122925716</v>
      </c>
      <c r="AF210" s="678">
        <f>+AF211+AF218</f>
        <v>0</v>
      </c>
      <c r="AG210" s="678">
        <f>+AG211+AG218</f>
        <v>0</v>
      </c>
      <c r="AH210" s="793" t="e">
        <f t="shared" si="95"/>
        <v>#DIV/0!</v>
      </c>
      <c r="AI210" s="678">
        <f>+AI211+AI218</f>
        <v>1700000000</v>
      </c>
      <c r="AJ210" s="678">
        <f>+AJ211+AJ218</f>
        <v>475175216</v>
      </c>
      <c r="AK210" s="831">
        <f t="shared" si="96"/>
        <v>0.27951483294117646</v>
      </c>
      <c r="AL210" s="826"/>
      <c r="AM210" s="683"/>
      <c r="AN210" s="684"/>
      <c r="AO210" s="685"/>
      <c r="AP210" s="833"/>
      <c r="AQ210" s="833"/>
    </row>
    <row r="211" spans="1:43" s="709" customFormat="1" ht="53.25" customHeight="1">
      <c r="A211" s="687" t="s">
        <v>2046</v>
      </c>
      <c r="B211" s="688"/>
      <c r="C211" s="689"/>
      <c r="D211" s="690"/>
      <c r="E211" s="689"/>
      <c r="F211" s="691"/>
      <c r="G211" s="691"/>
      <c r="H211" s="904">
        <f>+(H214*40%)+(H216*30%)+(H217*30%)</f>
        <v>1</v>
      </c>
      <c r="I211" s="693">
        <f>+SUMPRODUCT(I212:I217,X212:X217)</f>
        <v>1</v>
      </c>
      <c r="J211" s="951"/>
      <c r="K211" s="951"/>
      <c r="L211" s="694"/>
      <c r="M211" s="688"/>
      <c r="N211" s="688"/>
      <c r="O211" s="951"/>
      <c r="P211" s="951"/>
      <c r="Q211" s="951"/>
      <c r="R211" s="770"/>
      <c r="S211" s="951"/>
      <c r="T211" s="952"/>
      <c r="U211" s="697"/>
      <c r="V211" s="676">
        <f>+SUMPRODUCT(V212:V217,W212:W217)</f>
        <v>0.51249999999999996</v>
      </c>
      <c r="W211" s="693">
        <v>0.5</v>
      </c>
      <c r="X211" s="693">
        <v>0.5</v>
      </c>
      <c r="Y211" s="699">
        <v>200000000</v>
      </c>
      <c r="Z211" s="699">
        <v>30607500</v>
      </c>
      <c r="AA211" s="699">
        <v>137264716</v>
      </c>
      <c r="AB211" s="700">
        <f t="shared" si="92"/>
        <v>0.68632358000000004</v>
      </c>
      <c r="AC211" s="699">
        <v>14339000</v>
      </c>
      <c r="AD211" s="838">
        <f t="shared" si="93"/>
        <v>7.1694999999999995E-2</v>
      </c>
      <c r="AE211" s="927">
        <f t="shared" si="94"/>
        <v>122925716</v>
      </c>
      <c r="AF211" s="927"/>
      <c r="AG211" s="927"/>
      <c r="AH211" s="703" t="e">
        <f t="shared" si="95"/>
        <v>#DIV/0!</v>
      </c>
      <c r="AI211" s="699">
        <f>SUM(AI212:AI217)</f>
        <v>500000000</v>
      </c>
      <c r="AJ211" s="699">
        <f>+SUM(Z211:AA211)</f>
        <v>167872216</v>
      </c>
      <c r="AK211" s="838">
        <f t="shared" si="96"/>
        <v>0.33574443199999998</v>
      </c>
      <c r="AL211" s="834"/>
      <c r="AM211" s="705"/>
      <c r="AN211" s="706"/>
      <c r="AO211" s="707"/>
      <c r="AP211" s="708"/>
      <c r="AQ211" s="708"/>
    </row>
    <row r="212" spans="1:43" ht="127.5">
      <c r="A212" s="745" t="s">
        <v>2047</v>
      </c>
      <c r="B212" s="912" t="s">
        <v>2048</v>
      </c>
      <c r="C212" s="988">
        <v>0</v>
      </c>
      <c r="D212" s="989">
        <v>40</v>
      </c>
      <c r="E212" s="714">
        <v>0</v>
      </c>
      <c r="F212" s="715">
        <v>40</v>
      </c>
      <c r="G212" s="715"/>
      <c r="H212" s="717" t="s">
        <v>1536</v>
      </c>
      <c r="I212" s="717">
        <f>IF(F212/D212&gt;=100%,100%,F212/D212)</f>
        <v>1</v>
      </c>
      <c r="J212" s="956" t="s">
        <v>2049</v>
      </c>
      <c r="K212" s="956"/>
      <c r="L212" s="719"/>
      <c r="M212" s="720"/>
      <c r="N212" s="721"/>
      <c r="O212" s="956"/>
      <c r="P212" s="956"/>
      <c r="Q212" s="956"/>
      <c r="R212" s="722"/>
      <c r="S212" s="956"/>
      <c r="T212" s="957">
        <v>40</v>
      </c>
      <c r="U212" s="725">
        <f>SUM(E212:G212)</f>
        <v>40</v>
      </c>
      <c r="V212" s="922">
        <f>IF(U212/T212&gt;=100%,100%,U212/T212)</f>
        <v>1</v>
      </c>
      <c r="W212" s="743">
        <v>0.05</v>
      </c>
      <c r="X212" s="716">
        <v>0.2</v>
      </c>
      <c r="Y212" s="728"/>
      <c r="Z212" s="933"/>
      <c r="AA212" s="933"/>
      <c r="AB212" s="730" t="e">
        <f t="shared" si="92"/>
        <v>#DIV/0!</v>
      </c>
      <c r="AC212" s="934"/>
      <c r="AD212" s="935" t="e">
        <f t="shared" si="93"/>
        <v>#DIV/0!</v>
      </c>
      <c r="AE212" s="936">
        <f t="shared" si="94"/>
        <v>0</v>
      </c>
      <c r="AF212" s="936"/>
      <c r="AG212" s="936"/>
      <c r="AH212" s="734" t="e">
        <f t="shared" si="95"/>
        <v>#DIV/0!</v>
      </c>
      <c r="AI212" s="728">
        <v>99000000</v>
      </c>
      <c r="AJ212" s="849">
        <f t="shared" si="101"/>
        <v>0</v>
      </c>
      <c r="AK212" s="850">
        <f t="shared" si="96"/>
        <v>0</v>
      </c>
      <c r="AL212" s="845"/>
      <c r="AM212" s="738" t="s">
        <v>1320</v>
      </c>
      <c r="AN212" s="739" t="s">
        <v>993</v>
      </c>
      <c r="AO212" s="1264" t="s">
        <v>1591</v>
      </c>
      <c r="AP212" s="741"/>
      <c r="AQ212" s="741"/>
    </row>
    <row r="213" spans="1:43" ht="58.5" customHeight="1">
      <c r="A213" s="745" t="s">
        <v>2050</v>
      </c>
      <c r="B213" s="912" t="s">
        <v>2051</v>
      </c>
      <c r="C213" s="988">
        <v>0</v>
      </c>
      <c r="D213" s="989">
        <v>1</v>
      </c>
      <c r="E213" s="714">
        <v>0</v>
      </c>
      <c r="F213" s="715">
        <v>1</v>
      </c>
      <c r="G213" s="715"/>
      <c r="H213" s="717" t="s">
        <v>1536</v>
      </c>
      <c r="I213" s="717">
        <f>IF(F213/D213&gt;=100%,100%,F213/D213)</f>
        <v>1</v>
      </c>
      <c r="J213" s="956" t="s">
        <v>2052</v>
      </c>
      <c r="K213" s="956"/>
      <c r="L213" s="719"/>
      <c r="M213" s="720"/>
      <c r="N213" s="721"/>
      <c r="O213" s="956"/>
      <c r="P213" s="956"/>
      <c r="Q213" s="956"/>
      <c r="R213" s="722"/>
      <c r="S213" s="956"/>
      <c r="T213" s="957">
        <v>1</v>
      </c>
      <c r="U213" s="725">
        <f>SUM(E213:F213)</f>
        <v>1</v>
      </c>
      <c r="V213" s="924">
        <f>IF(((U213/T213)/3)&gt;=100%,100%,((U213/T213)/3))</f>
        <v>0.33333333333333331</v>
      </c>
      <c r="W213" s="743">
        <v>0.15</v>
      </c>
      <c r="X213" s="716">
        <v>0.2</v>
      </c>
      <c r="Y213" s="728"/>
      <c r="Z213" s="933"/>
      <c r="AA213" s="933"/>
      <c r="AB213" s="730" t="e">
        <f t="shared" si="92"/>
        <v>#DIV/0!</v>
      </c>
      <c r="AC213" s="934"/>
      <c r="AD213" s="935" t="e">
        <f t="shared" si="93"/>
        <v>#DIV/0!</v>
      </c>
      <c r="AE213" s="936">
        <f t="shared" si="94"/>
        <v>0</v>
      </c>
      <c r="AF213" s="936"/>
      <c r="AG213" s="936"/>
      <c r="AH213" s="734" t="e">
        <f t="shared" si="95"/>
        <v>#DIV/0!</v>
      </c>
      <c r="AI213" s="728">
        <v>90000000</v>
      </c>
      <c r="AJ213" s="849">
        <f t="shared" si="101"/>
        <v>0</v>
      </c>
      <c r="AK213" s="850">
        <f t="shared" si="96"/>
        <v>0</v>
      </c>
      <c r="AL213" s="845"/>
      <c r="AM213" s="738" t="s">
        <v>1320</v>
      </c>
      <c r="AN213" s="739" t="s">
        <v>1063</v>
      </c>
      <c r="AO213" s="1265"/>
      <c r="AP213" s="741"/>
      <c r="AQ213" s="741"/>
    </row>
    <row r="214" spans="1:43" ht="174" customHeight="1">
      <c r="A214" s="840" t="s">
        <v>2053</v>
      </c>
      <c r="B214" s="912" t="s">
        <v>2054</v>
      </c>
      <c r="C214" s="988">
        <v>2</v>
      </c>
      <c r="D214" s="989">
        <v>2</v>
      </c>
      <c r="E214" s="714">
        <v>3</v>
      </c>
      <c r="F214" s="715">
        <v>3</v>
      </c>
      <c r="G214" s="715"/>
      <c r="H214" s="717">
        <f t="shared" ref="H214" si="102">IF((E214+G214)/C214&gt;=100%,100%,(E214+G214)/C214)</f>
        <v>1</v>
      </c>
      <c r="I214" s="717">
        <f>IF(F214/D214&gt;=100%,100%,F214/D214)</f>
        <v>1</v>
      </c>
      <c r="J214" s="956" t="s">
        <v>2055</v>
      </c>
      <c r="K214" s="956"/>
      <c r="L214" s="1013"/>
      <c r="M214" s="1014"/>
      <c r="N214" s="721"/>
      <c r="O214" s="956"/>
      <c r="P214" s="956"/>
      <c r="Q214" s="956"/>
      <c r="R214" s="722"/>
      <c r="S214" s="956"/>
      <c r="T214" s="957">
        <v>8</v>
      </c>
      <c r="U214" s="725">
        <f>SUM(E214:G214)</f>
        <v>6</v>
      </c>
      <c r="V214" s="922">
        <f t="shared" ref="V214:V222" si="103">IF(U214/T214&gt;=100%,100%,U214/T214)</f>
        <v>0.75</v>
      </c>
      <c r="W214" s="743">
        <v>0.25</v>
      </c>
      <c r="X214" s="716">
        <v>0.2</v>
      </c>
      <c r="Y214" s="728"/>
      <c r="Z214" s="933"/>
      <c r="AA214" s="933"/>
      <c r="AB214" s="730" t="e">
        <f t="shared" si="92"/>
        <v>#DIV/0!</v>
      </c>
      <c r="AC214" s="934"/>
      <c r="AD214" s="935" t="e">
        <f t="shared" si="93"/>
        <v>#DIV/0!</v>
      </c>
      <c r="AE214" s="936">
        <f t="shared" si="94"/>
        <v>0</v>
      </c>
      <c r="AF214" s="936"/>
      <c r="AG214" s="936"/>
      <c r="AH214" s="734" t="e">
        <f t="shared" si="95"/>
        <v>#DIV/0!</v>
      </c>
      <c r="AI214" s="728">
        <v>110000000</v>
      </c>
      <c r="AJ214" s="849">
        <f t="shared" si="101"/>
        <v>0</v>
      </c>
      <c r="AK214" s="850">
        <f t="shared" si="96"/>
        <v>0</v>
      </c>
      <c r="AL214" s="845"/>
      <c r="AM214" s="738" t="s">
        <v>1320</v>
      </c>
      <c r="AN214" s="739" t="s">
        <v>993</v>
      </c>
      <c r="AO214" s="1265"/>
      <c r="AP214" s="741"/>
      <c r="AQ214" s="741"/>
    </row>
    <row r="215" spans="1:43" ht="1.5" customHeight="1">
      <c r="A215" s="1018" t="s">
        <v>2056</v>
      </c>
      <c r="B215" s="912" t="s">
        <v>2057</v>
      </c>
      <c r="C215" s="988">
        <v>0</v>
      </c>
      <c r="D215" s="989">
        <v>0</v>
      </c>
      <c r="E215" s="714">
        <v>0</v>
      </c>
      <c r="F215" s="715"/>
      <c r="G215" s="715"/>
      <c r="H215" s="717">
        <v>0</v>
      </c>
      <c r="I215" s="717">
        <v>0</v>
      </c>
      <c r="J215" s="956"/>
      <c r="K215" s="956"/>
      <c r="L215" s="1013"/>
      <c r="M215" s="1014"/>
      <c r="N215" s="721"/>
      <c r="O215" s="956"/>
      <c r="P215" s="956"/>
      <c r="Q215" s="956"/>
      <c r="R215" s="722"/>
      <c r="S215" s="956"/>
      <c r="T215" s="957">
        <v>1</v>
      </c>
      <c r="U215" s="725">
        <f t="shared" ref="U215" si="104">SUM(E215:F215)</f>
        <v>0</v>
      </c>
      <c r="V215" s="922">
        <f t="shared" si="103"/>
        <v>0</v>
      </c>
      <c r="W215" s="743">
        <v>0.1</v>
      </c>
      <c r="X215" s="716">
        <v>0</v>
      </c>
      <c r="Y215" s="728"/>
      <c r="Z215" s="933"/>
      <c r="AA215" s="933"/>
      <c r="AB215" s="730" t="e">
        <f t="shared" si="92"/>
        <v>#DIV/0!</v>
      </c>
      <c r="AC215" s="934"/>
      <c r="AD215" s="935" t="e">
        <f t="shared" si="93"/>
        <v>#DIV/0!</v>
      </c>
      <c r="AE215" s="936">
        <f t="shared" si="94"/>
        <v>0</v>
      </c>
      <c r="AF215" s="936"/>
      <c r="AG215" s="936"/>
      <c r="AH215" s="734" t="e">
        <f t="shared" si="95"/>
        <v>#DIV/0!</v>
      </c>
      <c r="AI215" s="728">
        <v>60000000</v>
      </c>
      <c r="AJ215" s="849">
        <f t="shared" si="101"/>
        <v>0</v>
      </c>
      <c r="AK215" s="850">
        <f t="shared" si="96"/>
        <v>0</v>
      </c>
      <c r="AL215" s="845"/>
      <c r="AM215" s="738" t="s">
        <v>1320</v>
      </c>
      <c r="AN215" s="739" t="s">
        <v>1063</v>
      </c>
      <c r="AO215" s="1266"/>
      <c r="AP215" s="741"/>
      <c r="AQ215" s="741"/>
    </row>
    <row r="216" spans="1:43" ht="153">
      <c r="A216" s="710" t="s">
        <v>2058</v>
      </c>
      <c r="B216" s="912" t="s">
        <v>2059</v>
      </c>
      <c r="C216" s="988">
        <v>1</v>
      </c>
      <c r="D216" s="989">
        <v>1</v>
      </c>
      <c r="E216" s="714">
        <v>1</v>
      </c>
      <c r="F216" s="715">
        <v>1</v>
      </c>
      <c r="G216" s="715"/>
      <c r="H216" s="717">
        <f t="shared" ref="H216:H217" si="105">IF((E216+G216)/C216&gt;=100%,100%,(E216+G216)/C216)</f>
        <v>1</v>
      </c>
      <c r="I216" s="717">
        <f>IF(F216/D216&gt;=100%,100%,F216/D216)</f>
        <v>1</v>
      </c>
      <c r="J216" s="956" t="s">
        <v>2060</v>
      </c>
      <c r="K216" s="956"/>
      <c r="L216" s="1013"/>
      <c r="M216" s="1014"/>
      <c r="N216" s="721"/>
      <c r="O216" s="956"/>
      <c r="P216" s="956"/>
      <c r="Q216" s="956"/>
      <c r="R216" s="722"/>
      <c r="S216" s="956"/>
      <c r="T216" s="957">
        <v>1</v>
      </c>
      <c r="U216" s="891">
        <f>SUM(E216:G216)/4</f>
        <v>0.5</v>
      </c>
      <c r="V216" s="924">
        <f t="shared" si="103"/>
        <v>0.5</v>
      </c>
      <c r="W216" s="743">
        <v>0.23</v>
      </c>
      <c r="X216" s="716">
        <v>0.2</v>
      </c>
      <c r="Y216" s="728"/>
      <c r="Z216" s="933"/>
      <c r="AA216" s="933"/>
      <c r="AB216" s="730" t="e">
        <f t="shared" si="92"/>
        <v>#DIV/0!</v>
      </c>
      <c r="AC216" s="934"/>
      <c r="AD216" s="935" t="e">
        <f t="shared" si="93"/>
        <v>#DIV/0!</v>
      </c>
      <c r="AE216" s="936">
        <f t="shared" si="94"/>
        <v>0</v>
      </c>
      <c r="AF216" s="936"/>
      <c r="AG216" s="936"/>
      <c r="AH216" s="734" t="e">
        <f t="shared" si="95"/>
        <v>#DIV/0!</v>
      </c>
      <c r="AI216" s="728">
        <v>81000000</v>
      </c>
      <c r="AJ216" s="849">
        <f t="shared" si="101"/>
        <v>0</v>
      </c>
      <c r="AK216" s="850">
        <f t="shared" si="96"/>
        <v>0</v>
      </c>
      <c r="AL216" s="845"/>
      <c r="AM216" s="738" t="s">
        <v>1320</v>
      </c>
      <c r="AN216" s="739" t="s">
        <v>1063</v>
      </c>
      <c r="AO216" s="740" t="s">
        <v>1591</v>
      </c>
      <c r="AP216" s="741"/>
      <c r="AQ216" s="741"/>
    </row>
    <row r="217" spans="1:43" ht="51.75" thickBot="1">
      <c r="A217" s="710" t="s">
        <v>2061</v>
      </c>
      <c r="B217" s="912" t="s">
        <v>2062</v>
      </c>
      <c r="C217" s="988">
        <v>1</v>
      </c>
      <c r="D217" s="989">
        <v>1</v>
      </c>
      <c r="E217" s="714">
        <v>1</v>
      </c>
      <c r="F217" s="715">
        <v>1</v>
      </c>
      <c r="G217" s="715"/>
      <c r="H217" s="717">
        <f t="shared" si="105"/>
        <v>1</v>
      </c>
      <c r="I217" s="717">
        <f>IF(F217/D217&gt;=100%,100%,F217/D217)</f>
        <v>1</v>
      </c>
      <c r="J217" s="956" t="s">
        <v>2063</v>
      </c>
      <c r="K217" s="956"/>
      <c r="L217" s="1012"/>
      <c r="M217" s="1009"/>
      <c r="N217" s="721"/>
      <c r="O217" s="956"/>
      <c r="P217" s="956"/>
      <c r="Q217" s="956"/>
      <c r="R217" s="722"/>
      <c r="S217" s="956"/>
      <c r="T217" s="957">
        <v>1</v>
      </c>
      <c r="U217" s="891">
        <f>SUM(E217:G217)/4</f>
        <v>0.5</v>
      </c>
      <c r="V217" s="924">
        <f t="shared" si="103"/>
        <v>0.5</v>
      </c>
      <c r="W217" s="743">
        <v>0.22</v>
      </c>
      <c r="X217" s="716">
        <v>0.2</v>
      </c>
      <c r="Y217" s="728"/>
      <c r="Z217" s="933"/>
      <c r="AA217" s="933"/>
      <c r="AB217" s="730" t="e">
        <f t="shared" si="92"/>
        <v>#DIV/0!</v>
      </c>
      <c r="AC217" s="934"/>
      <c r="AD217" s="935" t="e">
        <f t="shared" si="93"/>
        <v>#DIV/0!</v>
      </c>
      <c r="AE217" s="936">
        <f t="shared" si="94"/>
        <v>0</v>
      </c>
      <c r="AF217" s="936"/>
      <c r="AG217" s="936"/>
      <c r="AH217" s="734" t="e">
        <f t="shared" si="95"/>
        <v>#DIV/0!</v>
      </c>
      <c r="AI217" s="728">
        <v>60000000</v>
      </c>
      <c r="AJ217" s="849">
        <f t="shared" si="101"/>
        <v>0</v>
      </c>
      <c r="AK217" s="850">
        <f t="shared" si="96"/>
        <v>0</v>
      </c>
      <c r="AL217" s="845"/>
      <c r="AM217" s="738" t="s">
        <v>1320</v>
      </c>
      <c r="AN217" s="739"/>
      <c r="AO217" s="740" t="s">
        <v>1591</v>
      </c>
      <c r="AP217" s="741"/>
      <c r="AQ217" s="741"/>
    </row>
    <row r="218" spans="1:43" s="709" customFormat="1" ht="82.5" customHeight="1">
      <c r="A218" s="687" t="s">
        <v>2064</v>
      </c>
      <c r="B218" s="688"/>
      <c r="C218" s="689"/>
      <c r="D218" s="690"/>
      <c r="E218" s="689"/>
      <c r="F218" s="691"/>
      <c r="G218" s="691"/>
      <c r="H218" s="693">
        <f>+SUMPRODUCT(H219:H222,X219:X222)</f>
        <v>1</v>
      </c>
      <c r="I218" s="693">
        <f>+SUMPRODUCT(I219:I222,X219:X222)</f>
        <v>1</v>
      </c>
      <c r="J218" s="951"/>
      <c r="K218" s="951"/>
      <c r="L218" s="694"/>
      <c r="M218" s="688"/>
      <c r="N218" s="688"/>
      <c r="O218" s="951"/>
      <c r="P218" s="951"/>
      <c r="Q218" s="951"/>
      <c r="R218" s="770"/>
      <c r="S218" s="951"/>
      <c r="T218" s="952"/>
      <c r="U218" s="1010"/>
      <c r="V218" s="693">
        <f>+SUMPRODUCT(V219:V222,W219:W222)</f>
        <v>0.4821428571428571</v>
      </c>
      <c r="W218" s="693">
        <v>0.5</v>
      </c>
      <c r="X218" s="693">
        <v>0.5</v>
      </c>
      <c r="Y218" s="699">
        <v>163000000</v>
      </c>
      <c r="Z218" s="699">
        <v>144303000</v>
      </c>
      <c r="AA218" s="699">
        <v>163000000</v>
      </c>
      <c r="AB218" s="700">
        <f t="shared" si="92"/>
        <v>1</v>
      </c>
      <c r="AC218" s="699">
        <v>163000000</v>
      </c>
      <c r="AD218" s="838">
        <f t="shared" si="93"/>
        <v>1</v>
      </c>
      <c r="AE218" s="927">
        <f t="shared" si="94"/>
        <v>0</v>
      </c>
      <c r="AF218" s="927"/>
      <c r="AG218" s="927"/>
      <c r="AH218" s="703" t="e">
        <f t="shared" si="95"/>
        <v>#DIV/0!</v>
      </c>
      <c r="AI218" s="699">
        <f>SUM(AI219:AI222)</f>
        <v>1200000000</v>
      </c>
      <c r="AJ218" s="699">
        <f>+SUM(Z218:AA218)</f>
        <v>307303000</v>
      </c>
      <c r="AK218" s="838">
        <f t="shared" si="96"/>
        <v>0.25608583333333335</v>
      </c>
      <c r="AL218" s="834"/>
      <c r="AM218" s="705"/>
      <c r="AN218" s="706"/>
      <c r="AO218" s="707"/>
      <c r="AP218" s="708"/>
      <c r="AQ218" s="708"/>
    </row>
    <row r="219" spans="1:43" ht="132.75" customHeight="1">
      <c r="A219" s="710" t="s">
        <v>2065</v>
      </c>
      <c r="B219" s="912" t="s">
        <v>2066</v>
      </c>
      <c r="C219" s="1006">
        <v>1</v>
      </c>
      <c r="D219" s="1007">
        <v>2</v>
      </c>
      <c r="E219" s="714">
        <v>1</v>
      </c>
      <c r="F219" s="715">
        <v>2</v>
      </c>
      <c r="G219" s="715"/>
      <c r="H219" s="717">
        <f t="shared" ref="H219:H222" si="106">IF((E219+G219)/C219&gt;=100%,100%,(E219+G219)/C219)</f>
        <v>1</v>
      </c>
      <c r="I219" s="717">
        <f t="shared" ref="I219:I222" si="107">IF(F219/D219&gt;=100%,100%,F219/D219)</f>
        <v>1</v>
      </c>
      <c r="J219" s="956" t="s">
        <v>2067</v>
      </c>
      <c r="K219" s="956"/>
      <c r="L219" s="719"/>
      <c r="M219" s="720"/>
      <c r="N219" s="721"/>
      <c r="O219" s="956"/>
      <c r="P219" s="956"/>
      <c r="Q219" s="956"/>
      <c r="R219" s="722"/>
      <c r="S219" s="956"/>
      <c r="T219" s="957">
        <v>7</v>
      </c>
      <c r="U219" s="725">
        <f>SUM(E219:G219)</f>
        <v>3</v>
      </c>
      <c r="V219" s="922">
        <f t="shared" si="103"/>
        <v>0.42857142857142855</v>
      </c>
      <c r="W219" s="743">
        <v>0.25</v>
      </c>
      <c r="X219" s="716">
        <v>0.25</v>
      </c>
      <c r="Y219" s="754"/>
      <c r="Z219" s="933"/>
      <c r="AA219" s="933"/>
      <c r="AB219" s="730" t="e">
        <f t="shared" si="92"/>
        <v>#DIV/0!</v>
      </c>
      <c r="AC219" s="934"/>
      <c r="AD219" s="935" t="e">
        <f t="shared" si="93"/>
        <v>#DIV/0!</v>
      </c>
      <c r="AE219" s="936">
        <f t="shared" si="94"/>
        <v>0</v>
      </c>
      <c r="AF219" s="936"/>
      <c r="AG219" s="936"/>
      <c r="AH219" s="734" t="e">
        <f t="shared" si="95"/>
        <v>#DIV/0!</v>
      </c>
      <c r="AI219" s="754">
        <v>85000000</v>
      </c>
      <c r="AJ219" s="849">
        <f t="shared" si="101"/>
        <v>0</v>
      </c>
      <c r="AK219" s="850">
        <f t="shared" si="96"/>
        <v>0</v>
      </c>
      <c r="AL219" s="845"/>
      <c r="AM219" s="738" t="s">
        <v>1320</v>
      </c>
      <c r="AN219" s="884"/>
      <c r="AO219" s="1264" t="s">
        <v>1611</v>
      </c>
      <c r="AP219" s="741"/>
      <c r="AQ219" s="741"/>
    </row>
    <row r="220" spans="1:43" ht="51.75" customHeight="1">
      <c r="A220" s="710" t="s">
        <v>2068</v>
      </c>
      <c r="B220" s="912" t="s">
        <v>2069</v>
      </c>
      <c r="C220" s="1006">
        <v>1</v>
      </c>
      <c r="D220" s="1007">
        <v>1</v>
      </c>
      <c r="E220" s="714">
        <v>1</v>
      </c>
      <c r="F220" s="715">
        <v>1</v>
      </c>
      <c r="G220" s="715"/>
      <c r="H220" s="717">
        <f t="shared" si="106"/>
        <v>1</v>
      </c>
      <c r="I220" s="717">
        <f t="shared" si="107"/>
        <v>1</v>
      </c>
      <c r="J220" s="956" t="s">
        <v>2070</v>
      </c>
      <c r="K220" s="956"/>
      <c r="L220" s="719"/>
      <c r="M220" s="720"/>
      <c r="N220" s="721"/>
      <c r="O220" s="956"/>
      <c r="P220" s="956"/>
      <c r="Q220" s="956"/>
      <c r="R220" s="722"/>
      <c r="S220" s="956"/>
      <c r="T220" s="957">
        <v>1</v>
      </c>
      <c r="U220" s="891">
        <f>SUM(E220:G220)/4</f>
        <v>0.5</v>
      </c>
      <c r="V220" s="924">
        <f t="shared" si="103"/>
        <v>0.5</v>
      </c>
      <c r="W220" s="743">
        <v>0.15</v>
      </c>
      <c r="X220" s="716">
        <v>0.2</v>
      </c>
      <c r="Y220" s="754"/>
      <c r="Z220" s="933"/>
      <c r="AA220" s="933"/>
      <c r="AB220" s="730" t="e">
        <f t="shared" si="92"/>
        <v>#DIV/0!</v>
      </c>
      <c r="AC220" s="934"/>
      <c r="AD220" s="935" t="e">
        <f t="shared" si="93"/>
        <v>#DIV/0!</v>
      </c>
      <c r="AE220" s="936">
        <f t="shared" si="94"/>
        <v>0</v>
      </c>
      <c r="AF220" s="936"/>
      <c r="AG220" s="936"/>
      <c r="AH220" s="734" t="e">
        <f t="shared" si="95"/>
        <v>#DIV/0!</v>
      </c>
      <c r="AI220" s="754">
        <v>150000000</v>
      </c>
      <c r="AJ220" s="849">
        <f t="shared" si="101"/>
        <v>0</v>
      </c>
      <c r="AK220" s="850">
        <f t="shared" si="96"/>
        <v>0</v>
      </c>
      <c r="AL220" s="845"/>
      <c r="AM220" s="738" t="s">
        <v>1320</v>
      </c>
      <c r="AN220" s="884"/>
      <c r="AO220" s="1265"/>
      <c r="AP220" s="741"/>
      <c r="AQ220" s="741"/>
    </row>
    <row r="221" spans="1:43" ht="64.5" customHeight="1" thickBot="1">
      <c r="A221" s="710" t="s">
        <v>2071</v>
      </c>
      <c r="B221" s="912" t="s">
        <v>2072</v>
      </c>
      <c r="C221" s="1006">
        <v>1</v>
      </c>
      <c r="D221" s="1007">
        <v>1</v>
      </c>
      <c r="E221" s="714">
        <v>1</v>
      </c>
      <c r="F221" s="715">
        <v>1</v>
      </c>
      <c r="G221" s="715"/>
      <c r="H221" s="717">
        <f t="shared" si="106"/>
        <v>1</v>
      </c>
      <c r="I221" s="717">
        <f t="shared" si="107"/>
        <v>1</v>
      </c>
      <c r="J221" s="956" t="s">
        <v>2073</v>
      </c>
      <c r="K221" s="956"/>
      <c r="L221" s="1013"/>
      <c r="M221" s="1014"/>
      <c r="N221" s="721"/>
      <c r="O221" s="956"/>
      <c r="P221" s="956"/>
      <c r="Q221" s="956"/>
      <c r="R221" s="722"/>
      <c r="S221" s="956"/>
      <c r="T221" s="957">
        <v>1</v>
      </c>
      <c r="U221" s="891">
        <f>SUM(E221:G221)/4</f>
        <v>0.5</v>
      </c>
      <c r="V221" s="924">
        <f t="shared" si="103"/>
        <v>0.5</v>
      </c>
      <c r="W221" s="743">
        <v>0.4</v>
      </c>
      <c r="X221" s="935">
        <v>0.15</v>
      </c>
      <c r="Y221" s="754"/>
      <c r="Z221" s="933"/>
      <c r="AA221" s="933"/>
      <c r="AB221" s="730" t="e">
        <f t="shared" si="92"/>
        <v>#DIV/0!</v>
      </c>
      <c r="AC221" s="934"/>
      <c r="AD221" s="935" t="e">
        <f t="shared" si="93"/>
        <v>#DIV/0!</v>
      </c>
      <c r="AE221" s="936">
        <f t="shared" si="94"/>
        <v>0</v>
      </c>
      <c r="AF221" s="936"/>
      <c r="AG221" s="936"/>
      <c r="AH221" s="734" t="e">
        <f t="shared" si="95"/>
        <v>#DIV/0!</v>
      </c>
      <c r="AI221" s="754">
        <v>900000000</v>
      </c>
      <c r="AJ221" s="849">
        <f t="shared" si="101"/>
        <v>0</v>
      </c>
      <c r="AK221" s="850">
        <f t="shared" si="96"/>
        <v>0</v>
      </c>
      <c r="AL221" s="845"/>
      <c r="AM221" s="738" t="s">
        <v>1320</v>
      </c>
      <c r="AN221" s="884"/>
      <c r="AO221" s="1266"/>
      <c r="AP221" s="741"/>
      <c r="AQ221" s="741"/>
    </row>
    <row r="222" spans="1:43" ht="75.75" customHeight="1" thickTop="1" thickBot="1">
      <c r="A222" s="710" t="s">
        <v>2074</v>
      </c>
      <c r="B222" s="1019" t="s">
        <v>2075</v>
      </c>
      <c r="C222" s="1000">
        <v>1</v>
      </c>
      <c r="D222" s="1020">
        <v>1</v>
      </c>
      <c r="E222" s="751">
        <v>1</v>
      </c>
      <c r="F222" s="732">
        <v>1</v>
      </c>
      <c r="G222" s="715"/>
      <c r="H222" s="717">
        <f t="shared" si="106"/>
        <v>1</v>
      </c>
      <c r="I222" s="717">
        <f t="shared" si="107"/>
        <v>1</v>
      </c>
      <c r="J222" s="956" t="s">
        <v>2076</v>
      </c>
      <c r="K222" s="956"/>
      <c r="L222" s="1013"/>
      <c r="M222" s="1014"/>
      <c r="N222" s="721"/>
      <c r="O222" s="956"/>
      <c r="P222" s="956"/>
      <c r="Q222" s="956"/>
      <c r="R222" s="722"/>
      <c r="S222" s="956"/>
      <c r="T222" s="847">
        <v>1</v>
      </c>
      <c r="U222" s="913">
        <f>SUM(E222:G222)/4</f>
        <v>0.5</v>
      </c>
      <c r="V222" s="924">
        <f t="shared" si="103"/>
        <v>0.5</v>
      </c>
      <c r="W222" s="1021">
        <v>0.2</v>
      </c>
      <c r="X222" s="935">
        <v>0.4</v>
      </c>
      <c r="Y222" s="1022"/>
      <c r="Z222" s="933"/>
      <c r="AA222" s="933"/>
      <c r="AB222" s="1023" t="e">
        <f t="shared" si="92"/>
        <v>#DIV/0!</v>
      </c>
      <c r="AC222" s="934"/>
      <c r="AD222" s="935" t="e">
        <f t="shared" si="93"/>
        <v>#DIV/0!</v>
      </c>
      <c r="AE222" s="936">
        <f t="shared" si="94"/>
        <v>0</v>
      </c>
      <c r="AF222" s="936"/>
      <c r="AG222" s="936"/>
      <c r="AH222" s="734" t="e">
        <f t="shared" si="95"/>
        <v>#DIV/0!</v>
      </c>
      <c r="AI222" s="754">
        <v>65000000</v>
      </c>
      <c r="AJ222" s="849">
        <f t="shared" si="101"/>
        <v>0</v>
      </c>
      <c r="AK222" s="850">
        <f t="shared" si="96"/>
        <v>0</v>
      </c>
      <c r="AL222" s="845"/>
      <c r="AM222" s="738" t="s">
        <v>1320</v>
      </c>
      <c r="AN222" s="1024"/>
      <c r="AO222" s="740" t="s">
        <v>1591</v>
      </c>
      <c r="AP222" s="1025"/>
      <c r="AQ222" s="1025"/>
    </row>
    <row r="223" spans="1:43" s="1045" customFormat="1" ht="18.75" thickBot="1">
      <c r="A223" s="1267" t="s">
        <v>1245</v>
      </c>
      <c r="B223" s="1268"/>
      <c r="C223" s="1026"/>
      <c r="D223" s="1026"/>
      <c r="E223" s="1026"/>
      <c r="F223" s="1026"/>
      <c r="G223" s="1026"/>
      <c r="H223" s="1027">
        <f>(H8*W8)+(H66*W66)+(H124*W124)+(H139*W139)+(H158*W158)</f>
        <v>0.97203333333333319</v>
      </c>
      <c r="I223" s="1027">
        <f>+I8*X8+I66*X66+I124*X124+I139*X139+I158*X158</f>
        <v>0.90767986764705877</v>
      </c>
      <c r="J223" s="1026"/>
      <c r="K223" s="1026"/>
      <c r="L223" s="1026"/>
      <c r="M223" s="1026"/>
      <c r="N223" s="1026"/>
      <c r="O223" s="1026"/>
      <c r="P223" s="1026"/>
      <c r="Q223" s="1026"/>
      <c r="R223" s="1026"/>
      <c r="S223" s="1028"/>
      <c r="T223" s="1026"/>
      <c r="U223" s="1029"/>
      <c r="V223" s="1030">
        <f>+(V8*W8)+(V66*W66)+(V124*W124)+(V139*W139)+(V158*W158)</f>
        <v>0.52389847088356478</v>
      </c>
      <c r="W223" s="1031"/>
      <c r="X223" s="1028"/>
      <c r="Y223" s="1032">
        <f>+Y8+Y66+Y124+Y139+Y158</f>
        <v>36885418390</v>
      </c>
      <c r="Z223" s="1033">
        <f>+Z8+Z66+Z124+Z139+Z158</f>
        <v>11158677718.630001</v>
      </c>
      <c r="AA223" s="1034">
        <f>+AA8+AA66+AA124+AA139+AA158</f>
        <v>32418453430.170002</v>
      </c>
      <c r="AB223" s="1035">
        <f t="shared" si="92"/>
        <v>0.8788961829685783</v>
      </c>
      <c r="AC223" s="1034">
        <f>+AC8+AC66+AC124+AC139+AC158</f>
        <v>17483599252.889999</v>
      </c>
      <c r="AD223" s="1036">
        <f t="shared" si="93"/>
        <v>0.47399758538810488</v>
      </c>
      <c r="AE223" s="1037">
        <f t="shared" si="94"/>
        <v>14934854177.280003</v>
      </c>
      <c r="AF223" s="1038">
        <f>+AF8+AF66+AF124+AF139+AF158</f>
        <v>4276949985</v>
      </c>
      <c r="AG223" s="1038">
        <f>+AG8+AG66+AG124+AG139+AG158</f>
        <v>3239666786</v>
      </c>
      <c r="AH223" s="1039">
        <f t="shared" si="95"/>
        <v>0.7574712814884601</v>
      </c>
      <c r="AI223" s="1038">
        <f>+AI8+AI66+AI124+AI139+AI158</f>
        <v>87871879484.459991</v>
      </c>
      <c r="AJ223" s="1038">
        <f>+AJ8+AJ66+AJ124+AJ139+AJ158</f>
        <v>35481780930.309998</v>
      </c>
      <c r="AK223" s="1040">
        <f>+AJ223/AI223</f>
        <v>0.40378993983604161</v>
      </c>
      <c r="AL223" s="1041"/>
      <c r="AM223" s="1042"/>
      <c r="AN223" s="1043"/>
      <c r="AO223" s="1042"/>
      <c r="AP223" s="1043"/>
      <c r="AQ223" s="1044"/>
    </row>
    <row r="224" spans="1:43">
      <c r="A224" s="1269" t="s">
        <v>1246</v>
      </c>
      <c r="B224" s="1269"/>
      <c r="C224" s="1269"/>
      <c r="D224" s="1269"/>
      <c r="E224" s="1269"/>
      <c r="F224" s="1269"/>
      <c r="G224" s="1269"/>
      <c r="H224" s="1269"/>
      <c r="I224" s="1269"/>
      <c r="J224" s="1269"/>
      <c r="K224" s="1269"/>
      <c r="L224" s="1269"/>
      <c r="M224" s="1269"/>
      <c r="N224" s="1269"/>
      <c r="O224" s="1269"/>
      <c r="P224" s="1269"/>
      <c r="Q224" s="1269"/>
      <c r="R224" s="1269"/>
      <c r="S224" s="1269"/>
      <c r="T224" s="1269"/>
      <c r="U224" s="1269"/>
      <c r="V224" s="1269"/>
      <c r="W224" s="1269"/>
      <c r="X224" s="1269"/>
      <c r="Y224" s="1269"/>
      <c r="Z224" s="1269"/>
      <c r="AA224" s="1269"/>
      <c r="AB224" s="1269"/>
      <c r="AC224" s="1269"/>
      <c r="AD224" s="1269"/>
      <c r="AE224" s="1269"/>
      <c r="AF224" s="1269"/>
      <c r="AG224" s="1269"/>
      <c r="AH224" s="1269"/>
      <c r="AI224" s="1269"/>
      <c r="AJ224" s="1269"/>
      <c r="AK224" s="1269"/>
      <c r="AL224" s="1261"/>
    </row>
    <row r="225" spans="1:38">
      <c r="AL225" s="1047"/>
    </row>
    <row r="226" spans="1:38">
      <c r="A226" s="1262"/>
      <c r="B226" s="1262"/>
      <c r="C226" s="1262"/>
      <c r="D226" s="1262"/>
      <c r="E226" s="1262"/>
      <c r="F226" s="1262"/>
      <c r="G226" s="1262"/>
      <c r="H226" s="1262"/>
      <c r="I226" s="1262"/>
      <c r="J226" s="1262"/>
      <c r="K226" s="1262"/>
      <c r="L226" s="1262"/>
      <c r="M226" s="1262"/>
      <c r="N226" s="1262"/>
      <c r="O226" s="1262"/>
      <c r="P226" s="1262"/>
      <c r="Q226" s="1262"/>
      <c r="R226" s="1262"/>
      <c r="S226" s="1262"/>
      <c r="T226" s="1262"/>
      <c r="U226" s="1262"/>
      <c r="V226" s="1262"/>
      <c r="W226" s="1262"/>
      <c r="X226" s="1262"/>
      <c r="Y226" s="1262"/>
      <c r="Z226" s="1262"/>
      <c r="AA226" s="1262"/>
      <c r="AB226" s="1262"/>
      <c r="AC226" s="1262"/>
      <c r="AD226" s="1262"/>
      <c r="AE226" s="1262"/>
      <c r="AF226" s="1262"/>
      <c r="AG226" s="1262"/>
      <c r="AH226" s="1262"/>
      <c r="AI226" s="1262"/>
      <c r="AJ226" s="1262"/>
      <c r="AK226" s="1262"/>
    </row>
    <row r="227" spans="1:38">
      <c r="A227" s="1262"/>
      <c r="B227" s="1262"/>
      <c r="C227" s="1048"/>
      <c r="D227" s="1048"/>
      <c r="E227" s="1048"/>
      <c r="F227" s="1048"/>
      <c r="G227" s="1048"/>
      <c r="H227" s="1048"/>
      <c r="I227" s="1048"/>
      <c r="J227" s="1048"/>
      <c r="K227" s="1048"/>
      <c r="L227" s="1048"/>
      <c r="M227" s="1048"/>
      <c r="N227" s="1048"/>
      <c r="O227" s="1048"/>
      <c r="P227" s="1048"/>
      <c r="Q227" s="1048"/>
      <c r="R227" s="1048"/>
      <c r="S227" s="1048"/>
      <c r="T227" s="1048"/>
      <c r="U227" s="1048"/>
      <c r="V227" s="1048"/>
      <c r="W227" s="1048"/>
      <c r="X227" s="1048"/>
      <c r="Y227" s="1262"/>
      <c r="Z227" s="1262"/>
      <c r="AA227" s="1262"/>
      <c r="AB227" s="1262"/>
      <c r="AC227" s="1262"/>
      <c r="AD227" s="1262"/>
      <c r="AE227" s="1262"/>
      <c r="AF227" s="1262"/>
      <c r="AG227" s="1262"/>
      <c r="AH227" s="1262"/>
      <c r="AI227" s="1262"/>
      <c r="AJ227" s="1262"/>
      <c r="AK227" s="1262"/>
    </row>
    <row r="228" spans="1:38" ht="18">
      <c r="A228" s="1259"/>
      <c r="B228" s="1259"/>
      <c r="C228" s="1048"/>
      <c r="D228" s="1048"/>
      <c r="E228" s="1048"/>
      <c r="F228" s="1048"/>
      <c r="G228" s="1048"/>
      <c r="H228" s="1048"/>
      <c r="I228" s="1048"/>
      <c r="J228" s="1049"/>
      <c r="K228" s="1049"/>
      <c r="L228" s="1049"/>
      <c r="M228" s="1049"/>
      <c r="N228" s="1049"/>
      <c r="O228" s="1049"/>
      <c r="P228" s="1049"/>
      <c r="Q228" s="1049"/>
      <c r="R228" s="1049"/>
      <c r="S228" s="1049"/>
      <c r="T228" s="1048"/>
      <c r="U228" s="1048"/>
      <c r="V228" s="1048"/>
      <c r="W228" s="1049"/>
      <c r="X228" s="1049"/>
      <c r="Y228" s="1263"/>
      <c r="Z228" s="1263"/>
      <c r="AA228" s="1263"/>
      <c r="AB228" s="1263"/>
      <c r="AC228" s="1263"/>
      <c r="AD228" s="1263"/>
      <c r="AE228" s="1263"/>
      <c r="AF228" s="1263"/>
      <c r="AG228" s="1263"/>
      <c r="AH228" s="1263"/>
      <c r="AI228" s="1263"/>
      <c r="AJ228" s="1263"/>
      <c r="AK228" s="1263"/>
    </row>
    <row r="229" spans="1:38">
      <c r="A229" s="1259"/>
      <c r="B229" s="1259"/>
      <c r="C229" s="1048"/>
      <c r="D229" s="1048"/>
      <c r="E229" s="1048"/>
      <c r="F229" s="1048"/>
      <c r="G229" s="1048"/>
      <c r="H229" s="1048"/>
      <c r="I229" s="1048"/>
      <c r="J229" s="1049"/>
      <c r="K229" s="1049"/>
      <c r="L229" s="1049"/>
      <c r="M229" s="1049"/>
      <c r="N229" s="1049"/>
      <c r="O229" s="1049"/>
      <c r="P229" s="1049"/>
      <c r="Q229" s="1049"/>
      <c r="R229" s="1049"/>
      <c r="S229" s="1049"/>
      <c r="T229" s="1048"/>
      <c r="U229" s="1048"/>
      <c r="V229" s="1048"/>
      <c r="W229" s="1049"/>
      <c r="X229" s="1049"/>
      <c r="Y229" s="1260"/>
      <c r="Z229" s="1260"/>
      <c r="AA229" s="1260"/>
      <c r="AB229" s="1260"/>
      <c r="AC229" s="1260"/>
      <c r="AD229" s="1260"/>
      <c r="AE229" s="1260"/>
      <c r="AF229" s="1260"/>
      <c r="AG229" s="1260"/>
      <c r="AH229" s="1260"/>
      <c r="AI229" s="1260"/>
      <c r="AJ229" s="1260"/>
      <c r="AK229" s="1260"/>
    </row>
    <row r="230" spans="1:38">
      <c r="A230" s="1259"/>
      <c r="B230" s="1259"/>
      <c r="C230" s="1048"/>
      <c r="D230" s="1048"/>
      <c r="E230" s="1048"/>
      <c r="F230" s="1048"/>
      <c r="G230" s="1048"/>
      <c r="H230" s="1048"/>
      <c r="I230" s="1048"/>
      <c r="J230" s="1049"/>
      <c r="K230" s="1049"/>
      <c r="L230" s="1049"/>
      <c r="M230" s="1049"/>
      <c r="N230" s="1049"/>
      <c r="O230" s="1049"/>
      <c r="P230" s="1049"/>
      <c r="Q230" s="1049"/>
      <c r="R230" s="1049"/>
      <c r="S230" s="1049"/>
      <c r="T230" s="1048"/>
      <c r="U230" s="1048"/>
      <c r="V230" s="1048"/>
      <c r="W230" s="1049"/>
      <c r="X230" s="1049"/>
      <c r="Y230" s="1260"/>
      <c r="Z230" s="1260"/>
      <c r="AA230" s="1260"/>
      <c r="AB230" s="1260"/>
      <c r="AC230" s="1260"/>
      <c r="AD230" s="1260"/>
      <c r="AE230" s="1260"/>
      <c r="AF230" s="1260"/>
      <c r="AG230" s="1260"/>
      <c r="AH230" s="1260"/>
      <c r="AI230" s="1260"/>
      <c r="AJ230" s="1260"/>
      <c r="AK230" s="1260"/>
    </row>
    <row r="231" spans="1:38">
      <c r="A231" s="1259"/>
      <c r="B231" s="1259"/>
      <c r="C231" s="1048"/>
      <c r="D231" s="1048"/>
      <c r="E231" s="1048"/>
      <c r="F231" s="1048"/>
      <c r="G231" s="1048"/>
      <c r="H231" s="1048"/>
      <c r="I231" s="1048"/>
      <c r="J231" s="1049"/>
      <c r="K231" s="1049"/>
      <c r="L231" s="1049"/>
      <c r="M231" s="1049"/>
      <c r="N231" s="1049"/>
      <c r="O231" s="1049"/>
      <c r="P231" s="1049"/>
      <c r="Q231" s="1049"/>
      <c r="R231" s="1049"/>
      <c r="S231" s="1049"/>
      <c r="T231" s="1048"/>
      <c r="U231" s="1048"/>
      <c r="V231" s="1048"/>
      <c r="W231" s="1049"/>
      <c r="X231" s="1049"/>
      <c r="Y231" s="1260"/>
      <c r="Z231" s="1260"/>
      <c r="AA231" s="1260"/>
      <c r="AB231" s="1260"/>
      <c r="AC231" s="1260"/>
      <c r="AD231" s="1260"/>
      <c r="AE231" s="1260"/>
      <c r="AF231" s="1260"/>
      <c r="AG231" s="1260"/>
      <c r="AH231" s="1260"/>
      <c r="AI231" s="1260"/>
      <c r="AJ231" s="1260"/>
      <c r="AK231" s="1260"/>
    </row>
    <row r="232" spans="1:38">
      <c r="A232" s="1259"/>
      <c r="B232" s="1259"/>
      <c r="C232" s="1048"/>
      <c r="D232" s="1048"/>
      <c r="E232" s="1048"/>
      <c r="F232" s="1048"/>
      <c r="G232" s="1048"/>
      <c r="H232" s="1048"/>
      <c r="I232" s="1048"/>
      <c r="J232" s="1049"/>
      <c r="K232" s="1049"/>
      <c r="L232" s="1049"/>
      <c r="M232" s="1049"/>
      <c r="N232" s="1049"/>
      <c r="O232" s="1049"/>
      <c r="P232" s="1049"/>
      <c r="Q232" s="1049"/>
      <c r="R232" s="1049"/>
      <c r="S232" s="1049"/>
      <c r="T232" s="1048"/>
      <c r="U232" s="1048"/>
      <c r="V232" s="1048"/>
      <c r="W232" s="1049"/>
      <c r="X232" s="1049"/>
      <c r="Y232" s="1260"/>
      <c r="Z232" s="1260"/>
      <c r="AA232" s="1260"/>
      <c r="AB232" s="1260"/>
      <c r="AC232" s="1260"/>
      <c r="AD232" s="1260"/>
      <c r="AE232" s="1260"/>
      <c r="AF232" s="1260"/>
      <c r="AG232" s="1260"/>
      <c r="AH232" s="1260"/>
      <c r="AI232" s="1260"/>
      <c r="AJ232" s="1260"/>
      <c r="AK232" s="1260"/>
    </row>
    <row r="233" spans="1:38">
      <c r="A233" s="1259"/>
      <c r="B233" s="1259"/>
      <c r="C233" s="1048"/>
      <c r="D233" s="1048"/>
      <c r="E233" s="1048"/>
      <c r="F233" s="1048"/>
      <c r="G233" s="1048"/>
      <c r="H233" s="1048"/>
      <c r="I233" s="1048"/>
      <c r="J233" s="1049"/>
      <c r="K233" s="1049"/>
      <c r="L233" s="1049"/>
      <c r="M233" s="1049"/>
      <c r="N233" s="1049"/>
      <c r="O233" s="1049"/>
      <c r="P233" s="1049"/>
      <c r="Q233" s="1049"/>
      <c r="R233" s="1049"/>
      <c r="S233" s="1049"/>
      <c r="T233" s="1048"/>
      <c r="U233" s="1048"/>
      <c r="V233" s="1048"/>
      <c r="W233" s="1049"/>
      <c r="X233" s="1049"/>
      <c r="Y233" s="1260"/>
      <c r="Z233" s="1260"/>
      <c r="AA233" s="1260"/>
      <c r="AB233" s="1260"/>
      <c r="AC233" s="1260"/>
      <c r="AD233" s="1260"/>
      <c r="AE233" s="1260"/>
      <c r="AF233" s="1260"/>
      <c r="AG233" s="1260"/>
      <c r="AH233" s="1260"/>
      <c r="AI233" s="1260"/>
      <c r="AJ233" s="1260"/>
      <c r="AK233" s="1260"/>
    </row>
    <row r="234" spans="1:38">
      <c r="A234" s="1259"/>
      <c r="B234" s="1259"/>
      <c r="C234" s="1048"/>
      <c r="D234" s="1048"/>
      <c r="E234" s="1048"/>
      <c r="F234" s="1048"/>
      <c r="G234" s="1048"/>
      <c r="H234" s="1048"/>
      <c r="I234" s="1048"/>
      <c r="J234" s="1049"/>
      <c r="K234" s="1049"/>
      <c r="L234" s="1049"/>
      <c r="M234" s="1049"/>
      <c r="N234" s="1049"/>
      <c r="O234" s="1049"/>
      <c r="P234" s="1049"/>
      <c r="Q234" s="1049"/>
      <c r="R234" s="1049"/>
      <c r="S234" s="1049"/>
      <c r="T234" s="1048"/>
      <c r="U234" s="1048"/>
      <c r="V234" s="1048"/>
      <c r="W234" s="1049"/>
      <c r="X234" s="1049"/>
      <c r="Y234" s="1260"/>
      <c r="Z234" s="1260"/>
      <c r="AA234" s="1260"/>
      <c r="AB234" s="1260"/>
      <c r="AC234" s="1260"/>
      <c r="AD234" s="1260"/>
      <c r="AE234" s="1260"/>
      <c r="AF234" s="1260"/>
      <c r="AG234" s="1260"/>
      <c r="AH234" s="1260"/>
      <c r="AI234" s="1260"/>
      <c r="AJ234" s="1260"/>
      <c r="AK234" s="1260"/>
    </row>
    <row r="235" spans="1:38">
      <c r="A235" s="1259"/>
      <c r="B235" s="1259"/>
      <c r="C235" s="1048"/>
      <c r="D235" s="1048"/>
      <c r="E235" s="1048"/>
      <c r="F235" s="1048"/>
      <c r="G235" s="1048"/>
      <c r="H235" s="1048"/>
      <c r="I235" s="1048"/>
      <c r="J235" s="1049"/>
      <c r="K235" s="1049"/>
      <c r="L235" s="1049"/>
      <c r="M235" s="1049"/>
      <c r="N235" s="1049"/>
      <c r="O235" s="1049"/>
      <c r="P235" s="1049"/>
      <c r="Q235" s="1049"/>
      <c r="R235" s="1049"/>
      <c r="S235" s="1049"/>
      <c r="T235" s="1048"/>
      <c r="U235" s="1048"/>
      <c r="V235" s="1048"/>
      <c r="W235" s="1049"/>
      <c r="X235" s="1049"/>
      <c r="Y235" s="1260"/>
      <c r="Z235" s="1260"/>
      <c r="AA235" s="1260"/>
      <c r="AB235" s="1260"/>
      <c r="AC235" s="1260"/>
      <c r="AD235" s="1260"/>
      <c r="AE235" s="1260"/>
      <c r="AF235" s="1260"/>
      <c r="AG235" s="1260"/>
      <c r="AH235" s="1260"/>
      <c r="AI235" s="1260"/>
      <c r="AJ235" s="1260"/>
      <c r="AK235" s="1260"/>
    </row>
    <row r="236" spans="1:38">
      <c r="A236" s="1259"/>
      <c r="B236" s="1259"/>
      <c r="C236" s="1048"/>
      <c r="D236" s="1048"/>
      <c r="E236" s="1048"/>
      <c r="F236" s="1048"/>
      <c r="G236" s="1048"/>
      <c r="H236" s="1048"/>
      <c r="I236" s="1048"/>
      <c r="J236" s="1049"/>
      <c r="K236" s="1049"/>
      <c r="L236" s="1049"/>
      <c r="M236" s="1049"/>
      <c r="N236" s="1049"/>
      <c r="O236" s="1049"/>
      <c r="P236" s="1049"/>
      <c r="Q236" s="1049"/>
      <c r="R236" s="1049"/>
      <c r="S236" s="1049"/>
      <c r="T236" s="1048"/>
      <c r="U236" s="1048"/>
      <c r="V236" s="1048"/>
      <c r="W236" s="1049"/>
      <c r="X236" s="1049"/>
      <c r="Y236" s="1260"/>
      <c r="Z236" s="1260"/>
      <c r="AA236" s="1260"/>
      <c r="AB236" s="1260"/>
      <c r="AC236" s="1260"/>
      <c r="AD236" s="1260"/>
      <c r="AE236" s="1260"/>
      <c r="AF236" s="1260"/>
      <c r="AG236" s="1260"/>
      <c r="AH236" s="1260"/>
      <c r="AI236" s="1260"/>
      <c r="AJ236" s="1260"/>
      <c r="AK236" s="1260"/>
    </row>
    <row r="237" spans="1:38">
      <c r="A237" s="1259"/>
      <c r="B237" s="1259"/>
      <c r="C237" s="1048"/>
      <c r="D237" s="1048"/>
      <c r="E237" s="1048"/>
      <c r="F237" s="1048"/>
      <c r="G237" s="1048"/>
      <c r="H237" s="1048"/>
      <c r="I237" s="1048"/>
      <c r="J237" s="1049"/>
      <c r="K237" s="1049"/>
      <c r="L237" s="1049"/>
      <c r="M237" s="1049"/>
      <c r="N237" s="1049"/>
      <c r="O237" s="1049"/>
      <c r="P237" s="1049"/>
      <c r="Q237" s="1049"/>
      <c r="R237" s="1049"/>
      <c r="S237" s="1049"/>
      <c r="T237" s="1048"/>
      <c r="U237" s="1048"/>
      <c r="V237" s="1048"/>
      <c r="W237" s="1049"/>
      <c r="X237" s="1049"/>
      <c r="Y237" s="1260"/>
      <c r="Z237" s="1260"/>
      <c r="AA237" s="1260"/>
      <c r="AB237" s="1260"/>
      <c r="AC237" s="1260"/>
      <c r="AD237" s="1260"/>
      <c r="AE237" s="1260"/>
      <c r="AF237" s="1260"/>
      <c r="AG237" s="1260"/>
      <c r="AH237" s="1260"/>
      <c r="AI237" s="1260"/>
      <c r="AJ237" s="1260"/>
      <c r="AK237" s="1260"/>
    </row>
    <row r="238" spans="1:38">
      <c r="A238" s="1259"/>
      <c r="B238" s="1259"/>
      <c r="C238" s="1048"/>
      <c r="D238" s="1048"/>
      <c r="E238" s="1048"/>
      <c r="F238" s="1048"/>
      <c r="G238" s="1048"/>
      <c r="H238" s="1048"/>
      <c r="I238" s="1048"/>
      <c r="J238" s="1049"/>
      <c r="K238" s="1049"/>
      <c r="L238" s="1049"/>
      <c r="M238" s="1049"/>
      <c r="N238" s="1049"/>
      <c r="O238" s="1049"/>
      <c r="P238" s="1049"/>
      <c r="Q238" s="1049"/>
      <c r="R238" s="1049"/>
      <c r="S238" s="1049"/>
      <c r="T238" s="1048"/>
      <c r="U238" s="1048"/>
      <c r="V238" s="1048"/>
      <c r="W238" s="1049"/>
      <c r="X238" s="1049"/>
      <c r="Y238" s="1260"/>
      <c r="Z238" s="1260"/>
      <c r="AA238" s="1260"/>
      <c r="AB238" s="1260"/>
      <c r="AC238" s="1260"/>
      <c r="AD238" s="1260"/>
      <c r="AE238" s="1260"/>
      <c r="AF238" s="1260"/>
      <c r="AG238" s="1260"/>
      <c r="AH238" s="1260"/>
      <c r="AI238" s="1260"/>
      <c r="AJ238" s="1260"/>
      <c r="AK238" s="1260"/>
    </row>
    <row r="239" spans="1:38">
      <c r="A239" s="1259"/>
      <c r="B239" s="1259"/>
      <c r="C239" s="1048"/>
      <c r="D239" s="1048"/>
      <c r="E239" s="1048"/>
      <c r="F239" s="1048"/>
      <c r="G239" s="1048"/>
      <c r="H239" s="1048"/>
      <c r="I239" s="1048"/>
      <c r="J239" s="1049"/>
      <c r="K239" s="1049"/>
      <c r="L239" s="1049"/>
      <c r="M239" s="1049"/>
      <c r="N239" s="1049"/>
      <c r="O239" s="1049"/>
      <c r="P239" s="1049"/>
      <c r="Q239" s="1049"/>
      <c r="R239" s="1049"/>
      <c r="S239" s="1049"/>
      <c r="T239" s="1048"/>
      <c r="U239" s="1048"/>
      <c r="V239" s="1048"/>
      <c r="W239" s="1049"/>
      <c r="X239" s="1049"/>
      <c r="Y239" s="1260"/>
      <c r="Z239" s="1260"/>
      <c r="AA239" s="1260"/>
      <c r="AB239" s="1260"/>
      <c r="AC239" s="1260"/>
      <c r="AD239" s="1260"/>
      <c r="AE239" s="1260"/>
      <c r="AF239" s="1260"/>
      <c r="AG239" s="1260"/>
      <c r="AH239" s="1260"/>
      <c r="AI239" s="1260"/>
      <c r="AJ239" s="1260"/>
      <c r="AK239" s="1260"/>
    </row>
    <row r="240" spans="1:38">
      <c r="A240" s="1259"/>
      <c r="B240" s="1261"/>
      <c r="C240" s="1261"/>
      <c r="D240" s="1261"/>
      <c r="E240" s="1261"/>
      <c r="F240" s="1261"/>
      <c r="G240" s="1261"/>
      <c r="H240" s="1261"/>
      <c r="I240" s="1261"/>
      <c r="J240" s="1261"/>
      <c r="K240" s="1261"/>
      <c r="L240" s="1261"/>
      <c r="M240" s="1261"/>
      <c r="N240" s="1261"/>
      <c r="O240" s="1261"/>
      <c r="P240" s="1261"/>
      <c r="Q240" s="1261"/>
      <c r="R240" s="1261"/>
      <c r="S240" s="1261"/>
      <c r="T240" s="1261"/>
      <c r="U240" s="1261"/>
      <c r="V240" s="1261"/>
      <c r="W240" s="1261"/>
      <c r="X240" s="1261"/>
      <c r="Y240" s="1261"/>
      <c r="Z240" s="1261"/>
      <c r="AA240" s="1261"/>
      <c r="AB240" s="1261"/>
      <c r="AC240" s="1261"/>
      <c r="AD240" s="1261"/>
      <c r="AE240" s="1261"/>
      <c r="AF240" s="1261"/>
      <c r="AG240" s="1261"/>
      <c r="AH240" s="1261"/>
      <c r="AI240" s="1261"/>
      <c r="AJ240" s="1261"/>
      <c r="AK240" s="1261"/>
    </row>
  </sheetData>
  <autoFilter ref="A7:AQ224"/>
  <mergeCells count="107">
    <mergeCell ref="A1:AO1"/>
    <mergeCell ref="A2:AO2"/>
    <mergeCell ref="A3:AO3"/>
    <mergeCell ref="A5:A7"/>
    <mergeCell ref="B5:X5"/>
    <mergeCell ref="Y5:AK5"/>
    <mergeCell ref="AL5:AL7"/>
    <mergeCell ref="AM5:AM7"/>
    <mergeCell ref="AN5:AN7"/>
    <mergeCell ref="AO5:AO7"/>
    <mergeCell ref="O6:O7"/>
    <mergeCell ref="P6:P7"/>
    <mergeCell ref="Q6:Q7"/>
    <mergeCell ref="R6:R7"/>
    <mergeCell ref="S6:S7"/>
    <mergeCell ref="T6:T7"/>
    <mergeCell ref="AP5:AP7"/>
    <mergeCell ref="AQ5:AQ7"/>
    <mergeCell ref="C6:D6"/>
    <mergeCell ref="E6:F6"/>
    <mergeCell ref="H6:I6"/>
    <mergeCell ref="J6:J7"/>
    <mergeCell ref="K6:K7"/>
    <mergeCell ref="L6:L7"/>
    <mergeCell ref="M6:M7"/>
    <mergeCell ref="N6:N7"/>
    <mergeCell ref="AB6:AB7"/>
    <mergeCell ref="AC6:AC7"/>
    <mergeCell ref="AD6:AD7"/>
    <mergeCell ref="AE6:AE7"/>
    <mergeCell ref="AF6:AF7"/>
    <mergeCell ref="AG6:AG7"/>
    <mergeCell ref="U6:U7"/>
    <mergeCell ref="V6:V7"/>
    <mergeCell ref="W6:W7"/>
    <mergeCell ref="X6:X7"/>
    <mergeCell ref="Y6:Y7"/>
    <mergeCell ref="Z6:AA6"/>
    <mergeCell ref="AO39:AO40"/>
    <mergeCell ref="AO43:AO45"/>
    <mergeCell ref="AO48:AO49"/>
    <mergeCell ref="AO64:AO65"/>
    <mergeCell ref="AO69:AO70"/>
    <mergeCell ref="AO71:AO72"/>
    <mergeCell ref="AH6:AH7"/>
    <mergeCell ref="AI6:AI7"/>
    <mergeCell ref="AJ6:AJ7"/>
    <mergeCell ref="AK6:AK7"/>
    <mergeCell ref="AO14:AO17"/>
    <mergeCell ref="AO37:AO38"/>
    <mergeCell ref="AO101:AO102"/>
    <mergeCell ref="AO105:AO106"/>
    <mergeCell ref="AO109:AO117"/>
    <mergeCell ref="AO119:AO121"/>
    <mergeCell ref="AO129:AO130"/>
    <mergeCell ref="AO132:AO133"/>
    <mergeCell ref="AO76:AO77"/>
    <mergeCell ref="AO79:AO81"/>
    <mergeCell ref="AO82:AO86"/>
    <mergeCell ref="AO89:AO91"/>
    <mergeCell ref="AO94:AO96"/>
    <mergeCell ref="AO97:AO98"/>
    <mergeCell ref="AO168:AO171"/>
    <mergeCell ref="AO172:AO173"/>
    <mergeCell ref="AO176:AO179"/>
    <mergeCell ref="AO182:AO184"/>
    <mergeCell ref="AO194:AO197"/>
    <mergeCell ref="AO203:AO204"/>
    <mergeCell ref="AO137:AO138"/>
    <mergeCell ref="AO142:AO145"/>
    <mergeCell ref="AO148:AO151"/>
    <mergeCell ref="AO155:AO156"/>
    <mergeCell ref="AO161:AO162"/>
    <mergeCell ref="AO165:AO167"/>
    <mergeCell ref="A227:B227"/>
    <mergeCell ref="Y227:AK227"/>
    <mergeCell ref="A228:B228"/>
    <mergeCell ref="Y228:AK228"/>
    <mergeCell ref="A229:B229"/>
    <mergeCell ref="Y229:AK229"/>
    <mergeCell ref="AO206:AO209"/>
    <mergeCell ref="AO212:AO215"/>
    <mergeCell ref="AO219:AO221"/>
    <mergeCell ref="A223:B223"/>
    <mergeCell ref="A224:AL224"/>
    <mergeCell ref="A226:AK226"/>
    <mergeCell ref="A233:B233"/>
    <mergeCell ref="Y233:AK233"/>
    <mergeCell ref="A234:B234"/>
    <mergeCell ref="Y234:AK234"/>
    <mergeCell ref="A235:B235"/>
    <mergeCell ref="Y235:AK235"/>
    <mergeCell ref="A230:B230"/>
    <mergeCell ref="Y230:AK230"/>
    <mergeCell ref="A231:B231"/>
    <mergeCell ref="Y231:AK231"/>
    <mergeCell ref="A232:B232"/>
    <mergeCell ref="Y232:AK232"/>
    <mergeCell ref="A239:B239"/>
    <mergeCell ref="Y239:AK239"/>
    <mergeCell ref="A240:AK240"/>
    <mergeCell ref="A236:B236"/>
    <mergeCell ref="Y236:AK236"/>
    <mergeCell ref="A237:B237"/>
    <mergeCell ref="Y237:AK237"/>
    <mergeCell ref="A238:B238"/>
    <mergeCell ref="Y238:AK238"/>
  </mergeCells>
  <printOptions horizontalCentered="1" verticalCentered="1"/>
  <pageMargins left="0" right="0" top="0.98425196850393704" bottom="0.98425196850393704" header="0" footer="0"/>
  <pageSetup scale="49" orientation="landscape" r:id="rId1"/>
  <headerFooter alignWithMargins="0"/>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91"/>
  <sheetViews>
    <sheetView showGridLines="0" topLeftCell="A16" zoomScale="98" zoomScaleNormal="98" workbookViewId="0">
      <selection activeCell="M38" sqref="M38"/>
    </sheetView>
  </sheetViews>
  <sheetFormatPr baseColWidth="10" defaultRowHeight="15"/>
  <cols>
    <col min="1" max="1" width="1.85546875" customWidth="1"/>
    <col min="2" max="2" width="12.85546875" customWidth="1"/>
    <col min="3" max="3" width="5" style="86" bestFit="1" customWidth="1"/>
    <col min="4" max="4" width="34.85546875" customWidth="1"/>
    <col min="5" max="5" width="12.140625" customWidth="1"/>
  </cols>
  <sheetData>
    <row r="1" spans="1:20" s="490" customFormat="1" ht="100.5" customHeight="1" thickBot="1">
      <c r="A1" s="1334"/>
      <c r="B1" s="1335"/>
      <c r="C1" s="1335"/>
      <c r="D1" s="1335"/>
      <c r="E1" s="1335"/>
      <c r="F1" s="1335"/>
      <c r="G1" s="1335"/>
      <c r="H1" s="1335"/>
      <c r="I1" s="1335"/>
      <c r="J1" s="1335"/>
      <c r="K1" s="1335"/>
      <c r="L1" s="1335"/>
      <c r="M1" s="1335"/>
      <c r="N1" s="1335"/>
      <c r="O1" s="1335"/>
      <c r="P1" s="1336"/>
      <c r="Q1" s="389"/>
      <c r="R1" s="389"/>
    </row>
    <row r="2" spans="1:20" s="491" customFormat="1" ht="16.5" thickBot="1">
      <c r="A2" s="1342" t="str">
        <f>'Datos Generales'!C5</f>
        <v>Corporación Autónoma Regional del Cesar – CORPOCESAR</v>
      </c>
      <c r="B2" s="1343"/>
      <c r="C2" s="1343"/>
      <c r="D2" s="1343"/>
      <c r="E2" s="1343"/>
      <c r="F2" s="1343"/>
      <c r="G2" s="1343"/>
      <c r="H2" s="1343"/>
      <c r="I2" s="1343"/>
      <c r="J2" s="1343"/>
      <c r="K2" s="1343"/>
      <c r="L2" s="1343"/>
      <c r="M2" s="1343"/>
      <c r="N2" s="1343"/>
      <c r="O2" s="1343"/>
      <c r="P2" s="1344"/>
      <c r="Q2" s="389"/>
      <c r="R2" s="389"/>
    </row>
    <row r="3" spans="1:20" s="491" customFormat="1" ht="16.5" thickBot="1">
      <c r="A3" s="1337" t="s">
        <v>1294</v>
      </c>
      <c r="B3" s="1338"/>
      <c r="C3" s="1338"/>
      <c r="D3" s="1338"/>
      <c r="E3" s="1338"/>
      <c r="F3" s="1338"/>
      <c r="G3" s="1338"/>
      <c r="H3" s="1338"/>
      <c r="I3" s="1338"/>
      <c r="J3" s="1338"/>
      <c r="K3" s="1338"/>
      <c r="L3" s="1338"/>
      <c r="M3" s="1338"/>
      <c r="N3" s="1338"/>
      <c r="O3" s="1338"/>
      <c r="P3" s="1339"/>
      <c r="Q3" s="389"/>
      <c r="R3" s="389"/>
    </row>
    <row r="4" spans="1:20" s="491" customFormat="1" ht="16.5" thickBot="1">
      <c r="A4" s="1340" t="s">
        <v>1293</v>
      </c>
      <c r="B4" s="1341"/>
      <c r="C4" s="1341"/>
      <c r="D4" s="1341"/>
      <c r="E4" s="498">
        <v>2022</v>
      </c>
      <c r="F4" s="498"/>
      <c r="G4" s="498"/>
      <c r="H4" s="498"/>
      <c r="I4" s="498"/>
      <c r="J4" s="498"/>
      <c r="K4" s="498"/>
      <c r="L4" s="499"/>
      <c r="M4" s="499"/>
      <c r="N4" s="499"/>
      <c r="O4" s="499"/>
      <c r="P4" s="500"/>
      <c r="Q4" s="389"/>
      <c r="R4" s="389"/>
    </row>
    <row r="5" spans="1:20" s="235" customFormat="1" ht="16.5" customHeight="1" thickBot="1">
      <c r="A5" s="1337" t="s">
        <v>964</v>
      </c>
      <c r="B5" s="1338"/>
      <c r="C5" s="1338"/>
      <c r="D5" s="1338"/>
      <c r="E5" s="1338"/>
      <c r="F5" s="1338"/>
      <c r="G5" s="1338"/>
      <c r="H5" s="1338"/>
      <c r="I5" s="1338"/>
      <c r="J5" s="1338"/>
      <c r="K5" s="1338"/>
      <c r="L5" s="1338"/>
      <c r="M5" s="1338"/>
      <c r="N5" s="1338"/>
      <c r="O5" s="1338"/>
      <c r="P5" s="1339"/>
    </row>
    <row r="6" spans="1:20" ht="15.75" thickBot="1">
      <c r="B6" s="239" t="s">
        <v>1</v>
      </c>
      <c r="C6" s="75"/>
      <c r="D6" s="6"/>
      <c r="E6" s="73"/>
      <c r="F6" s="6" t="s">
        <v>128</v>
      </c>
      <c r="G6" s="6"/>
      <c r="H6" s="6"/>
      <c r="I6" s="6"/>
      <c r="J6" s="6"/>
      <c r="K6" s="6"/>
    </row>
    <row r="7" spans="1:20" ht="15.75" thickBot="1">
      <c r="B7" s="250" t="s">
        <v>1181</v>
      </c>
      <c r="C7" s="213">
        <v>2022</v>
      </c>
      <c r="D7" s="215">
        <f>IF(E9="NO APLICA","NO APLICA",IF(E10="NO SE REPORTA","SIN INFORMACION",+E17))</f>
        <v>1</v>
      </c>
      <c r="E7" s="231"/>
      <c r="F7" s="6" t="s">
        <v>129</v>
      </c>
      <c r="G7" s="6"/>
      <c r="H7" s="6"/>
      <c r="I7" s="6"/>
      <c r="J7" s="6"/>
      <c r="K7" s="6"/>
    </row>
    <row r="8" spans="1:20">
      <c r="B8" s="462" t="s">
        <v>1182</v>
      </c>
      <c r="E8" s="214"/>
      <c r="F8" s="6" t="s">
        <v>130</v>
      </c>
      <c r="G8" s="6"/>
      <c r="H8" s="6"/>
      <c r="I8" s="6"/>
      <c r="J8" s="6"/>
      <c r="K8" s="6"/>
    </row>
    <row r="9" spans="1:20" s="389" customFormat="1">
      <c r="A9" s="235"/>
      <c r="B9" s="1392" t="s">
        <v>1236</v>
      </c>
      <c r="C9" s="1392"/>
      <c r="D9" s="1392"/>
      <c r="E9" s="468" t="s">
        <v>1233</v>
      </c>
      <c r="F9" s="1412" t="str">
        <f>'25Redes'!$F$10</f>
        <v>Acuerdo 005 del 22 de mayo de 2020 (Por medio del cual se aprueba el Plan de Accion Institucional 2020 -2023)</v>
      </c>
      <c r="G9" s="1412"/>
      <c r="H9" s="1412"/>
      <c r="I9" s="1412"/>
      <c r="J9" s="1412"/>
      <c r="K9" s="1412"/>
      <c r="L9" s="1412"/>
      <c r="M9" s="1412"/>
      <c r="N9" s="1412"/>
      <c r="O9" s="1412"/>
      <c r="P9" s="1412"/>
      <c r="Q9" s="1412"/>
      <c r="R9" s="1412"/>
      <c r="S9" s="464"/>
      <c r="T9" s="464"/>
    </row>
    <row r="10" spans="1:20" s="389" customFormat="1" ht="14.45" customHeight="1">
      <c r="A10" s="235"/>
      <c r="B10" s="465"/>
      <c r="C10" s="466"/>
      <c r="D10" s="467" t="str">
        <f>IF(E9="SI APLICA","¿El indicador no se reporta por limitaciones de información disponible? ","")</f>
        <v xml:space="preserve">¿El indicador no se reporta por limitaciones de información disponible? </v>
      </c>
      <c r="E10" s="469" t="s">
        <v>1235</v>
      </c>
      <c r="F10" s="1412"/>
      <c r="G10" s="1412"/>
      <c r="H10" s="1412"/>
      <c r="I10" s="1412"/>
      <c r="J10" s="1412"/>
      <c r="K10" s="1412"/>
      <c r="L10" s="1412"/>
      <c r="M10" s="1412"/>
      <c r="N10" s="1412"/>
      <c r="O10" s="1412"/>
      <c r="P10" s="1412"/>
      <c r="Q10" s="1412"/>
      <c r="R10" s="1412"/>
    </row>
    <row r="11" spans="1:20" s="389" customFormat="1" ht="23.45" customHeight="1">
      <c r="A11" s="235"/>
      <c r="B11" s="462"/>
      <c r="C11" s="292"/>
      <c r="D11" s="467" t="str">
        <f>IF(E10="SI SE REPORTA","¿Qué programas o proyectos del Plan de Acción están asociados al indicador? ","")</f>
        <v xml:space="preserve">¿Qué programas o proyectos del Plan de Acción están asociados al indicador? </v>
      </c>
      <c r="E11" s="1430" t="s">
        <v>2120</v>
      </c>
      <c r="F11" s="1430"/>
      <c r="G11" s="1430"/>
      <c r="H11" s="1430"/>
      <c r="I11" s="1430"/>
      <c r="J11" s="1430"/>
      <c r="K11" s="1430"/>
      <c r="L11" s="1430"/>
      <c r="M11" s="1430"/>
      <c r="N11" s="1430"/>
      <c r="O11" s="1430"/>
      <c r="P11" s="1430"/>
      <c r="Q11" s="1430"/>
      <c r="R11" s="1430"/>
    </row>
    <row r="12" spans="1:20" s="389" customFormat="1" ht="21.95" customHeight="1" thickBot="1">
      <c r="A12" s="235"/>
      <c r="B12" s="462"/>
      <c r="C12" s="292"/>
      <c r="D12" s="467" t="s">
        <v>1238</v>
      </c>
      <c r="E12" s="1395"/>
      <c r="F12" s="1396"/>
      <c r="G12" s="1396"/>
      <c r="H12" s="1396"/>
      <c r="I12" s="1396"/>
      <c r="J12" s="1396"/>
      <c r="K12" s="1396"/>
      <c r="L12" s="1396"/>
      <c r="M12" s="1396"/>
      <c r="N12" s="1396"/>
      <c r="O12" s="1396"/>
      <c r="P12" s="1396"/>
      <c r="Q12" s="1396"/>
      <c r="R12" s="1397"/>
    </row>
    <row r="13" spans="1:20" ht="15.75" customHeight="1" thickBot="1">
      <c r="B13" s="1530" t="s">
        <v>2</v>
      </c>
      <c r="C13" s="101"/>
      <c r="D13" s="1453" t="s">
        <v>3</v>
      </c>
      <c r="E13" s="1454"/>
      <c r="F13" s="1454"/>
      <c r="G13" s="1454"/>
      <c r="H13" s="1454"/>
      <c r="I13" s="1459"/>
      <c r="J13" s="1460"/>
      <c r="K13" s="6"/>
    </row>
    <row r="14" spans="1:20" ht="15.75" thickBot="1">
      <c r="B14" s="1531"/>
      <c r="C14" s="97" t="s">
        <v>19</v>
      </c>
      <c r="D14" s="43" t="s">
        <v>150</v>
      </c>
      <c r="E14" s="38" t="s">
        <v>20</v>
      </c>
      <c r="F14" s="38" t="s">
        <v>21</v>
      </c>
      <c r="G14" s="38" t="s">
        <v>22</v>
      </c>
      <c r="H14" s="413" t="s">
        <v>23</v>
      </c>
      <c r="I14" s="439"/>
      <c r="J14" s="440"/>
      <c r="K14" s="6"/>
    </row>
    <row r="15" spans="1:20" ht="84.75" thickBot="1">
      <c r="B15" s="1531"/>
      <c r="C15" s="3" t="s">
        <v>152</v>
      </c>
      <c r="D15" s="187" t="s">
        <v>985</v>
      </c>
      <c r="E15" s="7">
        <v>25</v>
      </c>
      <c r="F15" s="7">
        <v>25</v>
      </c>
      <c r="G15" s="7">
        <v>25</v>
      </c>
      <c r="H15" s="437"/>
      <c r="I15" s="441"/>
      <c r="J15" s="22"/>
      <c r="K15" s="6"/>
    </row>
    <row r="16" spans="1:20" ht="84.75" thickBot="1">
      <c r="B16" s="1531"/>
      <c r="C16" s="3" t="s">
        <v>154</v>
      </c>
      <c r="D16" s="187" t="s">
        <v>986</v>
      </c>
      <c r="E16" s="7">
        <v>25</v>
      </c>
      <c r="F16" s="7">
        <v>25</v>
      </c>
      <c r="G16" s="7">
        <v>25</v>
      </c>
      <c r="H16" s="437"/>
      <c r="I16" s="441"/>
      <c r="J16" s="22"/>
      <c r="K16" s="6"/>
    </row>
    <row r="17" spans="2:11" ht="72.599999999999994" customHeight="1" thickBot="1">
      <c r="B17" s="1531"/>
      <c r="C17" s="3" t="s">
        <v>156</v>
      </c>
      <c r="D17" s="127" t="s">
        <v>987</v>
      </c>
      <c r="E17" s="150">
        <f>+E16/E15</f>
        <v>1</v>
      </c>
      <c r="F17" s="150">
        <f>+F16/F15</f>
        <v>1</v>
      </c>
      <c r="G17" s="150">
        <f>+G16/G15</f>
        <v>1</v>
      </c>
      <c r="H17" s="438" t="e">
        <f>+H16/H15</f>
        <v>#DIV/0!</v>
      </c>
      <c r="I17" s="442"/>
      <c r="J17" s="24"/>
      <c r="K17" s="6"/>
    </row>
    <row r="18" spans="2:11">
      <c r="B18" s="1531"/>
      <c r="C18" s="102"/>
      <c r="D18" s="1458"/>
      <c r="E18" s="1459"/>
      <c r="F18" s="1459"/>
      <c r="G18" s="1459"/>
      <c r="H18" s="1459"/>
      <c r="I18" s="1584"/>
      <c r="J18" s="1466"/>
      <c r="K18" s="6"/>
    </row>
    <row r="19" spans="2:11" ht="24" customHeight="1" thickBot="1">
      <c r="B19" s="1531"/>
      <c r="C19" s="102"/>
      <c r="D19" s="1464" t="s">
        <v>988</v>
      </c>
      <c r="E19" s="1465"/>
      <c r="F19" s="1465"/>
      <c r="G19" s="1465"/>
      <c r="H19" s="1465"/>
      <c r="I19" s="1465"/>
      <c r="J19" s="1466"/>
      <c r="K19" s="6"/>
    </row>
    <row r="20" spans="2:11" ht="24.75" thickBot="1">
      <c r="B20" s="1531"/>
      <c r="C20" s="97" t="s">
        <v>19</v>
      </c>
      <c r="D20" s="38" t="s">
        <v>309</v>
      </c>
      <c r="E20" s="122" t="s">
        <v>989</v>
      </c>
      <c r="F20" s="43" t="s">
        <v>990</v>
      </c>
      <c r="G20" s="43" t="s">
        <v>55</v>
      </c>
      <c r="H20" s="6"/>
      <c r="J20" s="22"/>
      <c r="K20" s="6"/>
    </row>
    <row r="21" spans="2:11" ht="84.75" thickBot="1">
      <c r="B21" s="1531"/>
      <c r="C21" s="3">
        <v>1</v>
      </c>
      <c r="D21" s="554" t="s">
        <v>1420</v>
      </c>
      <c r="E21" s="7">
        <v>25</v>
      </c>
      <c r="F21" s="30">
        <v>25</v>
      </c>
      <c r="G21" s="30"/>
      <c r="H21" s="6"/>
      <c r="J21" s="22"/>
      <c r="K21" s="6"/>
    </row>
    <row r="22" spans="2:11" ht="84.75" thickBot="1">
      <c r="B22" s="1531"/>
      <c r="C22" s="3">
        <v>2</v>
      </c>
      <c r="D22" s="554" t="s">
        <v>1420</v>
      </c>
      <c r="E22" s="7">
        <v>25</v>
      </c>
      <c r="F22" s="30">
        <v>25</v>
      </c>
      <c r="G22" s="30"/>
      <c r="H22" s="6"/>
      <c r="J22" s="22"/>
      <c r="K22" s="6"/>
    </row>
    <row r="23" spans="2:11" s="389" customFormat="1" ht="15.75" hidden="1" thickBot="1">
      <c r="B23" s="1531"/>
      <c r="C23" s="414">
        <v>3</v>
      </c>
      <c r="D23" s="31"/>
      <c r="E23" s="7"/>
      <c r="F23" s="30"/>
      <c r="G23" s="30"/>
      <c r="H23" s="6"/>
      <c r="J23" s="22"/>
      <c r="K23" s="6"/>
    </row>
    <row r="24" spans="2:11" s="389" customFormat="1" ht="15.75" hidden="1" thickBot="1">
      <c r="B24" s="1531"/>
      <c r="C24" s="414">
        <v>4</v>
      </c>
      <c r="D24" s="31"/>
      <c r="E24" s="7"/>
      <c r="F24" s="30"/>
      <c r="G24" s="30"/>
      <c r="H24" s="6"/>
      <c r="J24" s="22"/>
      <c r="K24" s="6"/>
    </row>
    <row r="25" spans="2:11" s="389" customFormat="1" ht="15.75" hidden="1" thickBot="1">
      <c r="B25" s="1531"/>
      <c r="C25" s="414">
        <v>5</v>
      </c>
      <c r="D25" s="31"/>
      <c r="E25" s="7"/>
      <c r="F25" s="30"/>
      <c r="G25" s="30"/>
      <c r="H25" s="6"/>
      <c r="J25" s="22"/>
      <c r="K25" s="6"/>
    </row>
    <row r="26" spans="2:11" s="389" customFormat="1" ht="15.75" hidden="1" thickBot="1">
      <c r="B26" s="1531"/>
      <c r="C26" s="414">
        <v>6</v>
      </c>
      <c r="D26" s="31"/>
      <c r="E26" s="7"/>
      <c r="F26" s="30"/>
      <c r="G26" s="30"/>
      <c r="H26" s="6"/>
      <c r="J26" s="22"/>
      <c r="K26" s="6"/>
    </row>
    <row r="27" spans="2:11" s="389" customFormat="1" ht="15.75" hidden="1" thickBot="1">
      <c r="B27" s="1531"/>
      <c r="C27" s="414">
        <v>7</v>
      </c>
      <c r="D27" s="31"/>
      <c r="E27" s="7"/>
      <c r="F27" s="30"/>
      <c r="G27" s="30"/>
      <c r="H27" s="6"/>
      <c r="J27" s="22"/>
      <c r="K27" s="6"/>
    </row>
    <row r="28" spans="2:11" s="389" customFormat="1" ht="15.75" hidden="1" thickBot="1">
      <c r="B28" s="1531"/>
      <c r="C28" s="414">
        <v>8</v>
      </c>
      <c r="D28" s="31"/>
      <c r="E28" s="7"/>
      <c r="F28" s="30"/>
      <c r="G28" s="30"/>
      <c r="H28" s="6"/>
      <c r="J28" s="22"/>
      <c r="K28" s="6"/>
    </row>
    <row r="29" spans="2:11" ht="15.75" hidden="1" thickBot="1">
      <c r="B29" s="1531"/>
      <c r="C29" s="414">
        <v>9</v>
      </c>
      <c r="D29" s="31"/>
      <c r="E29" s="7"/>
      <c r="F29" s="30"/>
      <c r="G29" s="30"/>
      <c r="H29" s="6"/>
      <c r="J29" s="22"/>
      <c r="K29" s="6"/>
    </row>
    <row r="30" spans="2:11" ht="15.75" hidden="1" thickBot="1">
      <c r="B30" s="1532"/>
      <c r="C30" s="414">
        <v>10</v>
      </c>
      <c r="D30" s="31"/>
      <c r="E30" s="7"/>
      <c r="F30" s="30"/>
      <c r="G30" s="30"/>
      <c r="H30" s="23"/>
      <c r="J30" s="24"/>
      <c r="K30" s="6"/>
    </row>
    <row r="31" spans="2:11" ht="24" customHeight="1" thickBot="1">
      <c r="B31" s="60" t="s">
        <v>34</v>
      </c>
      <c r="C31" s="103"/>
      <c r="D31" s="1453" t="s">
        <v>991</v>
      </c>
      <c r="E31" s="1454"/>
      <c r="F31" s="1454"/>
      <c r="G31" s="1454"/>
      <c r="H31" s="1454"/>
      <c r="I31" s="1454"/>
      <c r="J31" s="1455"/>
      <c r="K31" s="6"/>
    </row>
    <row r="32" spans="2:11" ht="18.75" thickBot="1">
      <c r="B32" s="60" t="s">
        <v>36</v>
      </c>
      <c r="C32" s="103"/>
      <c r="D32" s="1453" t="s">
        <v>278</v>
      </c>
      <c r="E32" s="1454"/>
      <c r="F32" s="1454"/>
      <c r="G32" s="1454"/>
      <c r="H32" s="1454"/>
      <c r="I32" s="1454"/>
      <c r="J32" s="1455"/>
      <c r="K32" s="6"/>
    </row>
    <row r="33" spans="2:11" ht="15.75" thickBot="1">
      <c r="B33" s="2"/>
      <c r="C33" s="75"/>
      <c r="D33" s="6"/>
      <c r="E33" s="6"/>
      <c r="F33" s="6"/>
      <c r="G33" s="6"/>
      <c r="H33" s="6"/>
      <c r="I33" s="6"/>
      <c r="J33" s="6"/>
      <c r="K33" s="6"/>
    </row>
    <row r="34" spans="2:11" ht="24" customHeight="1" thickBot="1">
      <c r="B34" s="1450" t="s">
        <v>38</v>
      </c>
      <c r="C34" s="1451"/>
      <c r="D34" s="1451"/>
      <c r="E34" s="1452"/>
      <c r="F34" s="6"/>
      <c r="G34" s="6"/>
      <c r="H34" s="6"/>
      <c r="I34" s="6"/>
      <c r="J34" s="6"/>
      <c r="K34" s="6"/>
    </row>
    <row r="35" spans="2:11" ht="48.75" thickBot="1">
      <c r="B35" s="1447">
        <v>1</v>
      </c>
      <c r="C35" s="93"/>
      <c r="D35" s="48" t="s">
        <v>39</v>
      </c>
      <c r="E35" s="554" t="s">
        <v>1421</v>
      </c>
      <c r="F35" s="6"/>
      <c r="G35" s="6"/>
      <c r="H35" s="6"/>
      <c r="I35" s="6"/>
      <c r="J35" s="6"/>
      <c r="K35" s="6"/>
    </row>
    <row r="36" spans="2:11" ht="24.75" thickBot="1">
      <c r="B36" s="1448"/>
      <c r="C36" s="93"/>
      <c r="D36" s="40" t="s">
        <v>40</v>
      </c>
      <c r="E36" s="554" t="s">
        <v>1385</v>
      </c>
      <c r="F36" s="6"/>
      <c r="G36" s="6"/>
      <c r="H36" s="6"/>
      <c r="I36" s="6"/>
      <c r="J36" s="6"/>
      <c r="K36" s="6"/>
    </row>
    <row r="37" spans="2:11" ht="24.75" thickBot="1">
      <c r="B37" s="1448"/>
      <c r="C37" s="93"/>
      <c r="D37" s="40" t="s">
        <v>41</v>
      </c>
      <c r="E37" s="554" t="s">
        <v>1386</v>
      </c>
      <c r="F37" s="6"/>
      <c r="G37" s="6"/>
      <c r="H37" s="6"/>
      <c r="I37" s="6"/>
      <c r="J37" s="6"/>
      <c r="K37" s="6"/>
    </row>
    <row r="38" spans="2:11" ht="15.75" thickBot="1">
      <c r="B38" s="1448"/>
      <c r="C38" s="93"/>
      <c r="D38" s="40" t="s">
        <v>42</v>
      </c>
      <c r="E38" s="554" t="s">
        <v>1387</v>
      </c>
      <c r="F38" s="6"/>
      <c r="G38" s="6"/>
      <c r="H38" s="6"/>
      <c r="I38" s="6"/>
      <c r="J38" s="6"/>
      <c r="K38" s="6"/>
    </row>
    <row r="39" spans="2:11" ht="45.75" thickBot="1">
      <c r="B39" s="1448"/>
      <c r="C39" s="93"/>
      <c r="D39" s="40" t="s">
        <v>43</v>
      </c>
      <c r="E39" s="579" t="s">
        <v>1422</v>
      </c>
      <c r="F39" s="6"/>
      <c r="G39" s="6"/>
      <c r="H39" s="6"/>
      <c r="I39" s="6"/>
      <c r="J39" s="6"/>
      <c r="K39" s="6"/>
    </row>
    <row r="40" spans="2:11" ht="15.75" thickBot="1">
      <c r="B40" s="1448"/>
      <c r="C40" s="93"/>
      <c r="D40" s="40" t="s">
        <v>44</v>
      </c>
      <c r="E40" s="554">
        <v>5748960</v>
      </c>
      <c r="F40" s="6"/>
      <c r="G40" s="6"/>
      <c r="H40" s="6"/>
      <c r="I40" s="6"/>
      <c r="J40" s="6"/>
      <c r="K40" s="6"/>
    </row>
    <row r="41" spans="2:11" ht="24.75" thickBot="1">
      <c r="B41" s="1449"/>
      <c r="C41" s="3"/>
      <c r="D41" s="40" t="s">
        <v>45</v>
      </c>
      <c r="E41" s="554" t="s">
        <v>1395</v>
      </c>
      <c r="F41" s="6"/>
      <c r="G41" s="6"/>
      <c r="H41" s="6"/>
      <c r="I41" s="6"/>
      <c r="J41" s="6"/>
      <c r="K41" s="6"/>
    </row>
    <row r="42" spans="2:11" ht="15.75" thickBot="1">
      <c r="B42" s="2"/>
      <c r="C42" s="75"/>
      <c r="D42" s="6"/>
      <c r="E42" s="6"/>
      <c r="F42" s="6"/>
      <c r="G42" s="6"/>
      <c r="H42" s="6"/>
      <c r="I42" s="6"/>
      <c r="J42" s="6"/>
      <c r="K42" s="6"/>
    </row>
    <row r="43" spans="2:11" ht="15.75" thickBot="1">
      <c r="B43" s="1450" t="s">
        <v>46</v>
      </c>
      <c r="C43" s="1451"/>
      <c r="D43" s="1451"/>
      <c r="E43" s="1452"/>
      <c r="F43" s="6"/>
      <c r="G43" s="6"/>
      <c r="H43" s="6"/>
      <c r="I43" s="6"/>
      <c r="J43" s="6"/>
      <c r="K43" s="6"/>
    </row>
    <row r="44" spans="2:11" ht="60.75" thickBot="1">
      <c r="B44" s="1447">
        <v>1</v>
      </c>
      <c r="C44" s="93"/>
      <c r="D44" s="48" t="s">
        <v>39</v>
      </c>
      <c r="E44" s="616" t="s">
        <v>47</v>
      </c>
      <c r="F44" s="6"/>
      <c r="G44" s="6"/>
      <c r="H44" s="6"/>
      <c r="I44" s="6"/>
      <c r="J44" s="6"/>
      <c r="K44" s="6"/>
    </row>
    <row r="45" spans="2:11" ht="84.75" thickBot="1">
      <c r="B45" s="1448"/>
      <c r="C45" s="93"/>
      <c r="D45" s="40" t="s">
        <v>40</v>
      </c>
      <c r="E45" s="616" t="s">
        <v>48</v>
      </c>
      <c r="F45" s="6"/>
      <c r="G45" s="6"/>
      <c r="H45" s="6"/>
      <c r="I45" s="6"/>
      <c r="J45" s="6"/>
      <c r="K45" s="6"/>
    </row>
    <row r="46" spans="2:11" ht="15.75" thickBot="1">
      <c r="B46" s="1448"/>
      <c r="C46" s="93"/>
      <c r="D46" s="40" t="s">
        <v>41</v>
      </c>
      <c r="E46" s="620"/>
      <c r="F46" s="6"/>
      <c r="G46" s="6"/>
      <c r="H46" s="6"/>
      <c r="I46" s="6"/>
      <c r="J46" s="6"/>
      <c r="K46" s="6"/>
    </row>
    <row r="47" spans="2:11" ht="15.75" thickBot="1">
      <c r="B47" s="1448"/>
      <c r="C47" s="93"/>
      <c r="D47" s="40" t="s">
        <v>42</v>
      </c>
      <c r="E47" s="443"/>
      <c r="F47" s="6"/>
      <c r="G47" s="6"/>
      <c r="H47" s="6"/>
      <c r="I47" s="6"/>
      <c r="J47" s="6"/>
      <c r="K47" s="6"/>
    </row>
    <row r="48" spans="2:11" ht="15.75" thickBot="1">
      <c r="B48" s="1448"/>
      <c r="C48" s="93"/>
      <c r="D48" s="40" t="s">
        <v>43</v>
      </c>
      <c r="E48" s="443"/>
      <c r="F48" s="6"/>
      <c r="G48" s="6"/>
      <c r="H48" s="6"/>
      <c r="I48" s="6"/>
      <c r="J48" s="6"/>
      <c r="K48" s="6"/>
    </row>
    <row r="49" spans="2:11" ht="15.75" thickBot="1">
      <c r="B49" s="1448"/>
      <c r="C49" s="93"/>
      <c r="D49" s="40" t="s">
        <v>44</v>
      </c>
      <c r="E49" s="443"/>
      <c r="F49" s="6"/>
      <c r="G49" s="6"/>
      <c r="H49" s="6"/>
      <c r="I49" s="6"/>
      <c r="J49" s="6"/>
      <c r="K49" s="6"/>
    </row>
    <row r="50" spans="2:11" ht="15.75" thickBot="1">
      <c r="B50" s="1449"/>
      <c r="C50" s="3"/>
      <c r="D50" s="40" t="s">
        <v>45</v>
      </c>
      <c r="E50" s="443"/>
      <c r="F50" s="6"/>
      <c r="G50" s="6"/>
      <c r="H50" s="6"/>
      <c r="I50" s="6"/>
      <c r="J50" s="6"/>
      <c r="K50" s="6"/>
    </row>
    <row r="51" spans="2:11">
      <c r="B51" s="2"/>
      <c r="C51" s="75"/>
      <c r="D51" s="6"/>
      <c r="E51" s="6"/>
      <c r="F51" s="6"/>
      <c r="G51" s="6"/>
      <c r="H51" s="6"/>
      <c r="I51" s="6"/>
      <c r="J51" s="6"/>
      <c r="K51" s="6"/>
    </row>
    <row r="52" spans="2:11" ht="15.75" thickBot="1">
      <c r="B52" s="2"/>
      <c r="C52" s="75"/>
      <c r="D52" s="6"/>
      <c r="E52" s="6"/>
      <c r="F52" s="6"/>
      <c r="G52" s="6"/>
      <c r="H52" s="6"/>
      <c r="I52" s="6"/>
      <c r="J52" s="6"/>
      <c r="K52" s="6"/>
    </row>
    <row r="53" spans="2:11" ht="15" customHeight="1" thickBot="1">
      <c r="B53" s="119" t="s">
        <v>49</v>
      </c>
      <c r="C53" s="120"/>
      <c r="D53" s="120"/>
      <c r="E53" s="121"/>
      <c r="G53" s="6"/>
      <c r="H53" s="6"/>
      <c r="I53" s="6"/>
      <c r="J53" s="6"/>
      <c r="K53" s="6"/>
    </row>
    <row r="54" spans="2:11" ht="24.75" thickBot="1">
      <c r="B54" s="47" t="s">
        <v>50</v>
      </c>
      <c r="C54" s="40" t="s">
        <v>51</v>
      </c>
      <c r="D54" s="40" t="s">
        <v>52</v>
      </c>
      <c r="E54" s="40" t="s">
        <v>53</v>
      </c>
      <c r="F54" s="6"/>
      <c r="G54" s="6"/>
      <c r="H54" s="6"/>
      <c r="I54" s="6"/>
      <c r="J54" s="6"/>
    </row>
    <row r="55" spans="2:11" ht="120.75" thickBot="1">
      <c r="B55" s="49">
        <v>42401</v>
      </c>
      <c r="C55" s="40">
        <v>0.01</v>
      </c>
      <c r="D55" s="50" t="s">
        <v>992</v>
      </c>
      <c r="E55" s="40"/>
      <c r="F55" s="6"/>
      <c r="G55" s="6"/>
      <c r="H55" s="6"/>
      <c r="I55" s="6"/>
      <c r="J55" s="6"/>
    </row>
    <row r="56" spans="2:11" ht="15.75" thickBot="1">
      <c r="B56" s="4"/>
      <c r="C56" s="94"/>
      <c r="D56" s="6"/>
      <c r="E56" s="6"/>
      <c r="F56" s="6"/>
      <c r="G56" s="6"/>
      <c r="H56" s="6"/>
      <c r="I56" s="6"/>
      <c r="J56" s="6"/>
      <c r="K56" s="6"/>
    </row>
    <row r="57" spans="2:11">
      <c r="B57" s="134" t="s">
        <v>55</v>
      </c>
      <c r="C57" s="95"/>
      <c r="D57" s="6"/>
      <c r="E57" s="6"/>
      <c r="F57" s="6"/>
      <c r="G57" s="6"/>
      <c r="H57" s="6"/>
      <c r="I57" s="6"/>
      <c r="J57" s="6"/>
      <c r="K57" s="6"/>
    </row>
    <row r="58" spans="2:11">
      <c r="B58" s="1630"/>
      <c r="C58" s="1631"/>
      <c r="D58" s="1631"/>
      <c r="E58" s="1632"/>
      <c r="F58" s="6"/>
      <c r="G58" s="6"/>
      <c r="H58" s="6"/>
      <c r="I58" s="6"/>
      <c r="J58" s="6"/>
      <c r="K58" s="6"/>
    </row>
    <row r="59" spans="2:11">
      <c r="B59" s="1633"/>
      <c r="C59" s="1634"/>
      <c r="D59" s="1634"/>
      <c r="E59" s="1635"/>
      <c r="F59" s="6"/>
      <c r="G59" s="6"/>
      <c r="H59" s="6"/>
      <c r="I59" s="6"/>
      <c r="J59" s="6"/>
      <c r="K59" s="6"/>
    </row>
    <row r="60" spans="2:11">
      <c r="B60" s="2"/>
      <c r="C60" s="75"/>
      <c r="D60" s="6"/>
      <c r="E60" s="6"/>
      <c r="F60" s="6"/>
      <c r="G60" s="6"/>
      <c r="H60" s="6"/>
      <c r="I60" s="6"/>
      <c r="J60" s="6"/>
      <c r="K60" s="6"/>
    </row>
    <row r="61" spans="2:11" ht="15.75" thickBot="1">
      <c r="B61" s="6"/>
      <c r="D61" s="6"/>
      <c r="E61" s="6"/>
      <c r="F61" s="6"/>
      <c r="G61" s="6"/>
      <c r="H61" s="6"/>
      <c r="I61" s="6"/>
      <c r="J61" s="6"/>
      <c r="K61" s="6"/>
    </row>
    <row r="62" spans="2:11" ht="15.75" thickBot="1">
      <c r="B62" s="1450" t="s">
        <v>56</v>
      </c>
      <c r="C62" s="1451"/>
      <c r="D62" s="1452"/>
      <c r="E62" s="6"/>
      <c r="F62" s="6"/>
      <c r="G62" s="6"/>
      <c r="H62" s="6"/>
      <c r="I62" s="6"/>
      <c r="J62" s="6"/>
      <c r="K62" s="6"/>
    </row>
    <row r="63" spans="2:11" ht="120">
      <c r="B63" s="1447" t="s">
        <v>57</v>
      </c>
      <c r="C63" s="93"/>
      <c r="D63" s="46" t="s">
        <v>965</v>
      </c>
      <c r="E63" s="6"/>
      <c r="F63" s="6"/>
      <c r="G63" s="6"/>
      <c r="H63" s="6"/>
      <c r="I63" s="6"/>
      <c r="J63" s="6"/>
      <c r="K63" s="6"/>
    </row>
    <row r="64" spans="2:11">
      <c r="B64" s="1448"/>
      <c r="C64" s="93"/>
      <c r="D64" s="53" t="s">
        <v>60</v>
      </c>
      <c r="E64" s="6"/>
      <c r="F64" s="6"/>
      <c r="G64" s="6"/>
      <c r="H64" s="6"/>
      <c r="I64" s="6"/>
      <c r="J64" s="6"/>
      <c r="K64" s="6"/>
    </row>
    <row r="65" spans="2:11" ht="144">
      <c r="B65" s="1448"/>
      <c r="C65" s="93"/>
      <c r="D65" s="46" t="s">
        <v>966</v>
      </c>
      <c r="E65" s="6"/>
      <c r="F65" s="6"/>
      <c r="G65" s="6"/>
      <c r="H65" s="6"/>
      <c r="I65" s="6"/>
      <c r="J65" s="6"/>
      <c r="K65" s="6"/>
    </row>
    <row r="66" spans="2:11">
      <c r="B66" s="1448"/>
      <c r="C66" s="93"/>
      <c r="D66" s="53" t="s">
        <v>63</v>
      </c>
      <c r="E66" s="6"/>
      <c r="F66" s="6"/>
      <c r="G66" s="6"/>
      <c r="H66" s="6"/>
      <c r="I66" s="6"/>
      <c r="J66" s="6"/>
      <c r="K66" s="6"/>
    </row>
    <row r="67" spans="2:11" ht="372.75" thickBot="1">
      <c r="B67" s="1449"/>
      <c r="C67" s="3"/>
      <c r="D67" s="40" t="s">
        <v>967</v>
      </c>
      <c r="E67" s="6"/>
      <c r="F67" s="6"/>
      <c r="G67" s="6"/>
      <c r="H67" s="6"/>
      <c r="I67" s="6"/>
      <c r="J67" s="6"/>
      <c r="K67" s="6"/>
    </row>
    <row r="68" spans="2:11" ht="348">
      <c r="B68" s="1447" t="s">
        <v>59</v>
      </c>
      <c r="C68" s="93"/>
      <c r="D68" s="26" t="s">
        <v>968</v>
      </c>
      <c r="E68" s="6"/>
      <c r="F68" s="6"/>
      <c r="G68" s="6"/>
      <c r="H68" s="6"/>
      <c r="I68" s="6"/>
      <c r="J68" s="6"/>
      <c r="K68" s="6"/>
    </row>
    <row r="69" spans="2:11" ht="264">
      <c r="B69" s="1448"/>
      <c r="C69" s="93"/>
      <c r="D69" s="26" t="s">
        <v>969</v>
      </c>
      <c r="E69" s="6"/>
      <c r="F69" s="6"/>
      <c r="G69" s="6"/>
      <c r="H69" s="6"/>
      <c r="I69" s="6"/>
      <c r="J69" s="6"/>
      <c r="K69" s="6"/>
    </row>
    <row r="70" spans="2:11" ht="36">
      <c r="B70" s="1448"/>
      <c r="C70" s="93"/>
      <c r="D70" s="26" t="s">
        <v>970</v>
      </c>
      <c r="E70" s="6"/>
      <c r="F70" s="6"/>
      <c r="G70" s="6"/>
      <c r="H70" s="6"/>
      <c r="I70" s="6"/>
      <c r="J70" s="6"/>
      <c r="K70" s="6"/>
    </row>
    <row r="71" spans="2:11" ht="24">
      <c r="B71" s="1448"/>
      <c r="C71" s="93"/>
      <c r="D71" s="26" t="s">
        <v>971</v>
      </c>
      <c r="E71" s="6"/>
      <c r="F71" s="6"/>
      <c r="G71" s="6"/>
      <c r="H71" s="6"/>
      <c r="I71" s="6"/>
      <c r="J71" s="6"/>
      <c r="K71" s="6"/>
    </row>
    <row r="72" spans="2:11">
      <c r="B72" s="1448"/>
      <c r="C72" s="93"/>
      <c r="D72" s="53" t="s">
        <v>288</v>
      </c>
      <c r="E72" s="6"/>
      <c r="F72" s="6"/>
      <c r="G72" s="6"/>
      <c r="H72" s="6"/>
      <c r="I72" s="6"/>
      <c r="J72" s="6"/>
      <c r="K72" s="6"/>
    </row>
    <row r="73" spans="2:11" ht="15.75" thickBot="1">
      <c r="B73" s="1449"/>
      <c r="C73" s="3"/>
      <c r="D73" s="40" t="s">
        <v>289</v>
      </c>
      <c r="E73" s="6"/>
      <c r="F73" s="6"/>
      <c r="G73" s="6"/>
      <c r="H73" s="6"/>
      <c r="I73" s="6"/>
      <c r="J73" s="6"/>
      <c r="K73" s="6"/>
    </row>
    <row r="74" spans="2:11" ht="24.75" thickBot="1">
      <c r="B74" s="47" t="s">
        <v>72</v>
      </c>
      <c r="C74" s="3"/>
      <c r="D74" s="40"/>
      <c r="E74" s="6"/>
      <c r="F74" s="6"/>
      <c r="G74" s="6"/>
      <c r="H74" s="6"/>
      <c r="I74" s="6"/>
      <c r="J74" s="6"/>
      <c r="K74" s="6"/>
    </row>
    <row r="75" spans="2:11" ht="396">
      <c r="B75" s="1447" t="s">
        <v>73</v>
      </c>
      <c r="C75" s="93"/>
      <c r="D75" s="46" t="s">
        <v>972</v>
      </c>
      <c r="E75" s="6"/>
      <c r="F75" s="6"/>
      <c r="G75" s="6"/>
      <c r="H75" s="6"/>
      <c r="I75" s="6"/>
      <c r="J75" s="6"/>
      <c r="K75" s="6"/>
    </row>
    <row r="76" spans="2:11" ht="216">
      <c r="B76" s="1448"/>
      <c r="C76" s="93"/>
      <c r="D76" s="46" t="s">
        <v>973</v>
      </c>
      <c r="E76" s="6"/>
      <c r="F76" s="6"/>
      <c r="G76" s="6"/>
      <c r="H76" s="6"/>
      <c r="I76" s="6"/>
      <c r="J76" s="6"/>
      <c r="K76" s="6"/>
    </row>
    <row r="77" spans="2:11" ht="120">
      <c r="B77" s="1448"/>
      <c r="C77" s="93"/>
      <c r="D77" s="46" t="s">
        <v>974</v>
      </c>
      <c r="E77" s="6"/>
      <c r="F77" s="6"/>
      <c r="G77" s="6"/>
      <c r="H77" s="6"/>
      <c r="I77" s="6"/>
      <c r="J77" s="6"/>
      <c r="K77" s="6"/>
    </row>
    <row r="78" spans="2:11" ht="108">
      <c r="B78" s="1448"/>
      <c r="C78" s="93"/>
      <c r="D78" s="46" t="s">
        <v>975</v>
      </c>
      <c r="E78" s="6"/>
      <c r="F78" s="6"/>
      <c r="G78" s="6"/>
      <c r="H78" s="6"/>
      <c r="I78" s="6"/>
      <c r="J78" s="6"/>
      <c r="K78" s="6"/>
    </row>
    <row r="79" spans="2:11" ht="252">
      <c r="B79" s="1448"/>
      <c r="C79" s="93"/>
      <c r="D79" s="46" t="s">
        <v>976</v>
      </c>
      <c r="E79" s="6"/>
      <c r="F79" s="6"/>
      <c r="G79" s="6"/>
      <c r="H79" s="6"/>
      <c r="I79" s="6"/>
      <c r="J79" s="6"/>
      <c r="K79" s="6"/>
    </row>
    <row r="80" spans="2:11" ht="48">
      <c r="B80" s="1448"/>
      <c r="C80" s="93"/>
      <c r="D80" s="46" t="s">
        <v>977</v>
      </c>
      <c r="E80" s="6"/>
      <c r="F80" s="6"/>
      <c r="G80" s="6"/>
      <c r="H80" s="6"/>
      <c r="I80" s="6"/>
      <c r="J80" s="6"/>
      <c r="K80" s="6"/>
    </row>
    <row r="81" spans="2:11" ht="96">
      <c r="B81" s="1448"/>
      <c r="C81" s="93"/>
      <c r="D81" s="61" t="s">
        <v>978</v>
      </c>
      <c r="E81" s="6"/>
      <c r="F81" s="6"/>
      <c r="G81" s="6"/>
      <c r="H81" s="6"/>
      <c r="I81" s="6"/>
      <c r="J81" s="6"/>
      <c r="K81" s="6"/>
    </row>
    <row r="82" spans="2:11" ht="60">
      <c r="B82" s="1448"/>
      <c r="C82" s="93"/>
      <c r="D82" s="61" t="s">
        <v>979</v>
      </c>
      <c r="E82" s="6"/>
      <c r="F82" s="6"/>
      <c r="G82" s="6"/>
      <c r="H82" s="6"/>
      <c r="I82" s="6"/>
      <c r="J82" s="6"/>
      <c r="K82" s="6"/>
    </row>
    <row r="83" spans="2:11" ht="52.5" thickBot="1">
      <c r="B83" s="1449"/>
      <c r="C83" s="3"/>
      <c r="D83" s="62" t="s">
        <v>980</v>
      </c>
      <c r="E83" s="6"/>
      <c r="F83" s="6"/>
      <c r="G83" s="6"/>
      <c r="H83" s="6"/>
      <c r="I83" s="6"/>
      <c r="J83" s="6"/>
      <c r="K83" s="6"/>
    </row>
    <row r="84" spans="2:11" ht="15.75" thickBot="1">
      <c r="B84" s="2"/>
      <c r="C84" s="75"/>
      <c r="D84" s="6"/>
      <c r="E84" s="6"/>
      <c r="F84" s="6"/>
      <c r="G84" s="6"/>
      <c r="H84" s="6"/>
      <c r="I84" s="6"/>
      <c r="J84" s="6"/>
      <c r="K84" s="6"/>
    </row>
    <row r="85" spans="2:11" ht="48">
      <c r="B85" s="1447" t="s">
        <v>90</v>
      </c>
      <c r="C85" s="104"/>
      <c r="D85" s="64" t="s">
        <v>981</v>
      </c>
      <c r="E85" s="6"/>
      <c r="F85" s="6"/>
      <c r="G85" s="6"/>
      <c r="H85" s="6"/>
      <c r="I85" s="6"/>
      <c r="J85" s="6"/>
      <c r="K85" s="6"/>
    </row>
    <row r="86" spans="2:11">
      <c r="B86" s="1448"/>
      <c r="C86" s="93"/>
      <c r="D86" s="17"/>
      <c r="E86" s="6"/>
      <c r="F86" s="6"/>
      <c r="G86" s="6"/>
      <c r="H86" s="6"/>
      <c r="I86" s="6"/>
      <c r="J86" s="6"/>
      <c r="K86" s="6"/>
    </row>
    <row r="87" spans="2:11">
      <c r="B87" s="1448"/>
      <c r="C87" s="93"/>
      <c r="D87" s="46" t="s">
        <v>91</v>
      </c>
      <c r="E87" s="6"/>
      <c r="F87" s="6"/>
      <c r="G87" s="6"/>
      <c r="H87" s="6"/>
      <c r="I87" s="6"/>
      <c r="J87" s="6"/>
      <c r="K87" s="6"/>
    </row>
    <row r="88" spans="2:11" ht="109.5">
      <c r="B88" s="1448"/>
      <c r="C88" s="93"/>
      <c r="D88" s="46" t="s">
        <v>982</v>
      </c>
      <c r="E88" s="6"/>
      <c r="F88" s="6"/>
      <c r="G88" s="6"/>
      <c r="H88" s="6"/>
      <c r="I88" s="6"/>
      <c r="J88" s="6"/>
      <c r="K88" s="6"/>
    </row>
    <row r="89" spans="2:11" ht="97.5">
      <c r="B89" s="1448"/>
      <c r="C89" s="93"/>
      <c r="D89" s="46" t="s">
        <v>983</v>
      </c>
      <c r="E89" s="6"/>
      <c r="F89" s="6"/>
      <c r="G89" s="6"/>
      <c r="H89" s="6"/>
      <c r="I89" s="6"/>
      <c r="J89" s="6"/>
      <c r="K89" s="6"/>
    </row>
    <row r="90" spans="2:11" ht="98.25" thickBot="1">
      <c r="B90" s="1449"/>
      <c r="C90" s="3"/>
      <c r="D90" s="40" t="s">
        <v>984</v>
      </c>
      <c r="E90" s="6"/>
      <c r="F90" s="6"/>
      <c r="G90" s="6"/>
      <c r="H90" s="6"/>
      <c r="I90" s="6"/>
      <c r="J90" s="6"/>
      <c r="K90" s="6"/>
    </row>
    <row r="91" spans="2:11">
      <c r="B91" s="6"/>
      <c r="D91" s="6"/>
      <c r="E91" s="6"/>
      <c r="F91" s="6"/>
      <c r="G91" s="6"/>
      <c r="H91" s="6"/>
      <c r="I91" s="6"/>
      <c r="J91" s="6"/>
      <c r="K91" s="6"/>
    </row>
  </sheetData>
  <sheetProtection insertRows="0"/>
  <mergeCells count="26">
    <mergeCell ref="B63:B67"/>
    <mergeCell ref="B68:B73"/>
    <mergeCell ref="B75:B83"/>
    <mergeCell ref="B85:B90"/>
    <mergeCell ref="B13:B30"/>
    <mergeCell ref="D13:J13"/>
    <mergeCell ref="D18:J18"/>
    <mergeCell ref="D19:J19"/>
    <mergeCell ref="B62:D62"/>
    <mergeCell ref="D31:J31"/>
    <mergeCell ref="D32:J32"/>
    <mergeCell ref="B34:E34"/>
    <mergeCell ref="B35:B41"/>
    <mergeCell ref="B43:E43"/>
    <mergeCell ref="B44:B50"/>
    <mergeCell ref="B58:E59"/>
    <mergeCell ref="B9:D9"/>
    <mergeCell ref="F9:R9"/>
    <mergeCell ref="F10:R10"/>
    <mergeCell ref="E11:R11"/>
    <mergeCell ref="E12:R12"/>
    <mergeCell ref="A1:P1"/>
    <mergeCell ref="A2:P2"/>
    <mergeCell ref="A3:P3"/>
    <mergeCell ref="A4:D4"/>
    <mergeCell ref="A5:P5"/>
  </mergeCells>
  <conditionalFormatting sqref="F10:R10">
    <cfRule type="expression" dxfId="33" priority="4">
      <formula>E10="NO SE REPORTA"</formula>
    </cfRule>
    <cfRule type="expression" dxfId="32" priority="5">
      <formula>E9="NO APLICA"</formula>
    </cfRule>
  </conditionalFormatting>
  <conditionalFormatting sqref="E11:R11">
    <cfRule type="expression" dxfId="31" priority="3">
      <formula>E10="SI SE REPORTA"</formula>
    </cfRule>
  </conditionalFormatting>
  <conditionalFormatting sqref="F9:R9">
    <cfRule type="expression" dxfId="30" priority="1">
      <formula>E9="NO SE REPORTA"</formula>
    </cfRule>
    <cfRule type="expression" dxfId="29" priority="2">
      <formula>E8="NO APLICA"</formula>
    </cfRule>
  </conditionalFormatting>
  <dataValidations count="3">
    <dataValidation type="whole" operator="greaterThanOrEqual" allowBlank="1" showErrorMessage="1" errorTitle="ERROR" error="Escriba un número igual o mayor que 0" promptTitle="ERROR" prompt="Escriba un número igual o mayor que 0" sqref="E15:H16 E21:E30">
      <formula1>0</formula1>
    </dataValidation>
    <dataValidation type="list" allowBlank="1" showInputMessage="1" showErrorMessage="1" sqref="E10">
      <formula1>REPORTE</formula1>
    </dataValidation>
    <dataValidation type="list" allowBlank="1" showInputMessage="1" showErrorMessage="1" sqref="E9">
      <formula1>SI</formula1>
    </dataValidation>
  </dataValidations>
  <hyperlinks>
    <hyperlink ref="B8" location="'ANEXO 3'!A1" display="VOLVER AL INDICE"/>
    <hyperlink ref="E39" r:id="rId1"/>
  </hyperlinks>
  <pageMargins left="0.25" right="0.25" top="0.75" bottom="0.75" header="0.3" footer="0.3"/>
  <pageSetup paperSize="178" orientation="landscape" horizontalDpi="1200" verticalDpi="1200" r:id="rId2"/>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139"/>
  <sheetViews>
    <sheetView showGridLines="0" topLeftCell="D1" zoomScale="98" zoomScaleNormal="98" workbookViewId="0">
      <selection activeCell="O19" sqref="O19"/>
    </sheetView>
  </sheetViews>
  <sheetFormatPr baseColWidth="10" defaultRowHeight="15"/>
  <cols>
    <col min="1" max="1" width="1.85546875" customWidth="1"/>
    <col min="2" max="2" width="10.5703125" customWidth="1"/>
    <col min="3" max="3" width="5" style="86" bestFit="1" customWidth="1"/>
    <col min="4" max="4" width="34.85546875" customWidth="1"/>
    <col min="5" max="5" width="21.140625" customWidth="1"/>
    <col min="6" max="6" width="18.42578125" customWidth="1"/>
    <col min="8" max="8" width="24.5703125" customWidth="1"/>
    <col min="16" max="16" width="19.42578125" customWidth="1"/>
    <col min="18" max="18" width="13.5703125" bestFit="1" customWidth="1"/>
    <col min="20" max="20" width="15.7109375" customWidth="1"/>
  </cols>
  <sheetData>
    <row r="1" spans="1:20" s="490" customFormat="1" ht="100.5" customHeight="1" thickBot="1">
      <c r="A1" s="1334"/>
      <c r="B1" s="1335"/>
      <c r="C1" s="1335"/>
      <c r="D1" s="1335"/>
      <c r="E1" s="1335"/>
      <c r="F1" s="1335"/>
      <c r="G1" s="1335"/>
      <c r="H1" s="1335"/>
      <c r="I1" s="1335"/>
      <c r="J1" s="1335"/>
      <c r="K1" s="1335"/>
      <c r="L1" s="1335"/>
      <c r="M1" s="1335"/>
      <c r="N1" s="1335"/>
      <c r="O1" s="1335"/>
      <c r="P1" s="1336"/>
      <c r="Q1" s="389"/>
      <c r="R1" s="389"/>
    </row>
    <row r="2" spans="1:20" s="491" customFormat="1" ht="16.5" thickBot="1">
      <c r="A2" s="1342" t="str">
        <f>'Datos Generales'!C5</f>
        <v>Corporación Autónoma Regional del Cesar – CORPOCESAR</v>
      </c>
      <c r="B2" s="1343"/>
      <c r="C2" s="1343"/>
      <c r="D2" s="1343"/>
      <c r="E2" s="1343"/>
      <c r="F2" s="1343"/>
      <c r="G2" s="1343"/>
      <c r="H2" s="1343"/>
      <c r="I2" s="1343"/>
      <c r="J2" s="1343"/>
      <c r="K2" s="1343"/>
      <c r="L2" s="1343"/>
      <c r="M2" s="1343"/>
      <c r="N2" s="1343"/>
      <c r="O2" s="1343"/>
      <c r="P2" s="1344"/>
      <c r="Q2" s="389"/>
      <c r="R2" s="389"/>
    </row>
    <row r="3" spans="1:20" s="491" customFormat="1" ht="16.5" thickBot="1">
      <c r="A3" s="1337" t="s">
        <v>1294</v>
      </c>
      <c r="B3" s="1338"/>
      <c r="C3" s="1338"/>
      <c r="D3" s="1338"/>
      <c r="E3" s="1338"/>
      <c r="F3" s="1338"/>
      <c r="G3" s="1338"/>
      <c r="H3" s="1338"/>
      <c r="I3" s="1338"/>
      <c r="J3" s="1338"/>
      <c r="K3" s="1338"/>
      <c r="L3" s="1338"/>
      <c r="M3" s="1338"/>
      <c r="N3" s="1338"/>
      <c r="O3" s="1338"/>
      <c r="P3" s="1339"/>
      <c r="Q3" s="389"/>
      <c r="R3" s="389"/>
    </row>
    <row r="4" spans="1:20" s="491" customFormat="1" ht="16.5" thickBot="1">
      <c r="A4" s="1340" t="s">
        <v>1293</v>
      </c>
      <c r="B4" s="1341"/>
      <c r="C4" s="1341"/>
      <c r="D4" s="1341"/>
      <c r="E4" s="498">
        <v>2022</v>
      </c>
      <c r="F4" s="498"/>
      <c r="G4" s="498"/>
      <c r="H4" s="498"/>
      <c r="I4" s="498"/>
      <c r="J4" s="498"/>
      <c r="K4" s="498"/>
      <c r="L4" s="499"/>
      <c r="M4" s="499"/>
      <c r="N4" s="499"/>
      <c r="O4" s="499"/>
      <c r="P4" s="500"/>
      <c r="Q4" s="389"/>
      <c r="R4" s="389"/>
    </row>
    <row r="5" spans="1:20" s="235" customFormat="1" ht="16.5" customHeight="1" thickBot="1">
      <c r="A5" s="1337" t="s">
        <v>993</v>
      </c>
      <c r="B5" s="1338"/>
      <c r="C5" s="1338"/>
      <c r="D5" s="1338"/>
      <c r="E5" s="1338"/>
      <c r="F5" s="1338"/>
      <c r="G5" s="1338"/>
      <c r="H5" s="1338"/>
      <c r="I5" s="1338"/>
      <c r="J5" s="1338"/>
      <c r="K5" s="1338"/>
      <c r="L5" s="1338"/>
      <c r="M5" s="1338"/>
      <c r="N5" s="1338"/>
      <c r="O5" s="1338"/>
      <c r="P5" s="1339"/>
    </row>
    <row r="6" spans="1:20">
      <c r="B6" s="2" t="s">
        <v>1</v>
      </c>
      <c r="C6" s="75"/>
      <c r="D6" s="6"/>
      <c r="E6" s="212"/>
      <c r="F6" s="6" t="s">
        <v>128</v>
      </c>
      <c r="G6" s="6"/>
      <c r="H6" s="6"/>
      <c r="I6" s="6"/>
      <c r="J6" s="6"/>
      <c r="K6" s="6"/>
    </row>
    <row r="7" spans="1:20" ht="15.75" thickBot="1">
      <c r="B7" s="74"/>
      <c r="C7" s="76"/>
      <c r="D7" s="6"/>
      <c r="E7" s="18"/>
      <c r="F7" s="6" t="s">
        <v>129</v>
      </c>
      <c r="G7" s="6"/>
      <c r="H7" s="6"/>
      <c r="I7" s="6"/>
      <c r="J7" s="6"/>
      <c r="K7" s="6"/>
    </row>
    <row r="8" spans="1:20" ht="15.75" thickBot="1">
      <c r="B8" s="171" t="s">
        <v>1181</v>
      </c>
      <c r="C8" s="213">
        <v>2022</v>
      </c>
      <c r="D8" s="218">
        <f>IF(E10="NO APLICA","NO APLICA",IF(E11="NO SE REPORTA","SIN INFORMACION",+F81))</f>
        <v>0.5</v>
      </c>
      <c r="E8" s="214"/>
      <c r="F8" s="6" t="s">
        <v>130</v>
      </c>
      <c r="G8" s="6"/>
      <c r="H8" s="6"/>
      <c r="I8" s="6"/>
      <c r="J8" s="6"/>
      <c r="K8" s="6"/>
    </row>
    <row r="9" spans="1:20">
      <c r="B9" s="462" t="s">
        <v>1182</v>
      </c>
      <c r="C9" s="87"/>
      <c r="D9" s="6"/>
      <c r="E9" s="6"/>
      <c r="F9" s="6"/>
      <c r="G9" s="6"/>
      <c r="H9" s="6"/>
      <c r="I9" s="6"/>
      <c r="J9" s="6"/>
      <c r="K9" s="6"/>
    </row>
    <row r="10" spans="1:20" s="389" customFormat="1">
      <c r="A10" s="235"/>
      <c r="B10" s="1392" t="s">
        <v>1236</v>
      </c>
      <c r="C10" s="1392"/>
      <c r="D10" s="1392"/>
      <c r="E10" s="468" t="s">
        <v>1233</v>
      </c>
      <c r="F10" s="1412" t="str">
        <f>'8Suelo'!F10</f>
        <v>Acuerdo 005 del 22 de mayo de 2020 (Por medio del cual se aprueba el Plan de Accion Institucional 2020 -2023)</v>
      </c>
      <c r="G10" s="1412"/>
      <c r="H10" s="1412"/>
      <c r="I10" s="1412"/>
      <c r="J10" s="1412"/>
      <c r="K10" s="1412"/>
      <c r="L10" s="1412"/>
      <c r="M10" s="1412"/>
      <c r="N10" s="1412"/>
      <c r="O10" s="1412"/>
      <c r="P10" s="1412"/>
      <c r="Q10" s="1412"/>
      <c r="R10" s="1412"/>
      <c r="S10" s="464"/>
      <c r="T10" s="464"/>
    </row>
    <row r="11" spans="1:20" s="389" customFormat="1" ht="14.45" customHeight="1">
      <c r="A11" s="235"/>
      <c r="B11" s="465"/>
      <c r="C11" s="466"/>
      <c r="D11" s="467" t="str">
        <f>IF(E10="SI APLICA","¿El indicador no se reporta por limitaciones de información disponible? ","")</f>
        <v xml:space="preserve">¿El indicador no se reporta por limitaciones de información disponible? </v>
      </c>
      <c r="E11" s="469" t="s">
        <v>1235</v>
      </c>
      <c r="F11" s="1412"/>
      <c r="G11" s="1412"/>
      <c r="H11" s="1412"/>
      <c r="I11" s="1412"/>
      <c r="J11" s="1412"/>
      <c r="K11" s="1412"/>
      <c r="L11" s="1412"/>
      <c r="M11" s="1412"/>
      <c r="N11" s="1412"/>
      <c r="O11" s="1412"/>
      <c r="P11" s="1412"/>
      <c r="Q11" s="1412"/>
      <c r="R11" s="1412"/>
    </row>
    <row r="12" spans="1:20" s="389" customFormat="1" ht="23.45" customHeight="1">
      <c r="A12" s="235"/>
      <c r="B12" s="462"/>
      <c r="C12" s="292"/>
      <c r="D12" s="467" t="str">
        <f>IF(E11="SI SE REPORTA","¿Qué programas o proyectos del Plan de Acción están asociados al indicador? ","")</f>
        <v xml:space="preserve">¿Qué programas o proyectos del Plan de Acción están asociados al indicador? </v>
      </c>
      <c r="E12" s="1636" t="s">
        <v>2121</v>
      </c>
      <c r="F12" s="1636"/>
      <c r="G12" s="1636"/>
      <c r="H12" s="1636"/>
      <c r="I12" s="1636"/>
      <c r="J12" s="1636"/>
      <c r="K12" s="1636"/>
      <c r="L12" s="1636"/>
      <c r="M12" s="1636"/>
      <c r="N12" s="1636"/>
      <c r="O12" s="1636"/>
      <c r="P12" s="1636"/>
      <c r="Q12" s="1636"/>
      <c r="R12" s="1636"/>
    </row>
    <row r="13" spans="1:20" s="389" customFormat="1" ht="21.95" customHeight="1">
      <c r="A13" s="235"/>
      <c r="B13" s="462"/>
      <c r="C13" s="292"/>
      <c r="D13" s="467" t="s">
        <v>1238</v>
      </c>
      <c r="E13" s="1395" t="s">
        <v>2103</v>
      </c>
      <c r="F13" s="1396"/>
      <c r="G13" s="1396"/>
      <c r="H13" s="1396"/>
      <c r="I13" s="1396"/>
      <c r="J13" s="1396"/>
      <c r="K13" s="1396"/>
      <c r="L13" s="1396"/>
      <c r="M13" s="1396"/>
      <c r="N13" s="1396"/>
      <c r="O13" s="1396"/>
      <c r="P13" s="1396"/>
      <c r="Q13" s="1396"/>
      <c r="R13" s="1397"/>
    </row>
    <row r="14" spans="1:20" s="389" customFormat="1" ht="6.95" customHeight="1" thickBot="1">
      <c r="B14" s="462"/>
      <c r="C14" s="87"/>
      <c r="D14" s="6"/>
      <c r="E14" s="6"/>
      <c r="F14" s="6"/>
      <c r="G14" s="6"/>
      <c r="H14" s="6"/>
      <c r="I14" s="6"/>
      <c r="J14" s="6"/>
      <c r="K14" s="6"/>
    </row>
    <row r="15" spans="1:20" ht="15" customHeight="1" thickTop="1">
      <c r="B15" s="1456" t="s">
        <v>2</v>
      </c>
      <c r="C15" s="88"/>
      <c r="D15" s="1458" t="s">
        <v>3</v>
      </c>
      <c r="E15" s="1459"/>
      <c r="F15" s="1459"/>
      <c r="G15" s="1459"/>
      <c r="H15" s="1459"/>
      <c r="I15" s="1459"/>
      <c r="J15" s="1459"/>
      <c r="K15" s="1459"/>
      <c r="L15" s="1534"/>
      <c r="M15" s="1514"/>
    </row>
    <row r="16" spans="1:20">
      <c r="B16" s="1457"/>
      <c r="C16" s="91"/>
      <c r="D16" s="1561" t="s">
        <v>1012</v>
      </c>
      <c r="E16" s="1562"/>
      <c r="F16" s="1562"/>
      <c r="G16" s="1562"/>
      <c r="H16" s="1562"/>
      <c r="I16" s="1562"/>
      <c r="J16" s="1562"/>
      <c r="K16" s="1562"/>
      <c r="L16" s="1637"/>
      <c r="M16" s="1599"/>
    </row>
    <row r="17" spans="2:21" ht="15.75" thickBot="1">
      <c r="B17" s="1457"/>
      <c r="C17" s="91"/>
      <c r="D17" s="1464" t="s">
        <v>1013</v>
      </c>
      <c r="E17" s="1465"/>
      <c r="F17" s="1465"/>
      <c r="G17" s="1465"/>
      <c r="H17" s="1465"/>
      <c r="I17" s="1465"/>
      <c r="J17" s="1465"/>
      <c r="K17" s="1465"/>
      <c r="L17" s="1535"/>
      <c r="M17" s="1515"/>
    </row>
    <row r="18" spans="2:21" ht="15.75" thickBot="1">
      <c r="B18" s="1457"/>
      <c r="C18" s="93"/>
      <c r="D18" s="1639" t="s">
        <v>1014</v>
      </c>
      <c r="E18" s="1523" t="s">
        <v>1015</v>
      </c>
      <c r="F18" s="1529"/>
      <c r="G18" s="1523" t="s">
        <v>1016</v>
      </c>
      <c r="H18" s="1529"/>
      <c r="I18" s="1523" t="s">
        <v>151</v>
      </c>
      <c r="J18" s="1529"/>
      <c r="K18" s="59"/>
      <c r="M18" s="14"/>
    </row>
    <row r="19" spans="2:21" ht="15.75" thickBot="1">
      <c r="B19" s="1457"/>
      <c r="C19" s="93"/>
      <c r="D19" s="1640"/>
      <c r="E19" s="39" t="s">
        <v>1017</v>
      </c>
      <c r="F19" s="39" t="s">
        <v>1018</v>
      </c>
      <c r="G19" s="39" t="s">
        <v>1017</v>
      </c>
      <c r="H19" s="39" t="s">
        <v>1018</v>
      </c>
      <c r="I19" s="39" t="s">
        <v>1017</v>
      </c>
      <c r="J19" s="39" t="s">
        <v>1018</v>
      </c>
      <c r="M19" s="14"/>
    </row>
    <row r="20" spans="2:21" ht="15.75" thickBot="1">
      <c r="B20" s="409"/>
      <c r="C20" s="93"/>
      <c r="D20" s="39" t="s">
        <v>1019</v>
      </c>
      <c r="E20" s="7">
        <v>1</v>
      </c>
      <c r="F20" s="7">
        <v>1</v>
      </c>
      <c r="G20" s="7"/>
      <c r="H20" s="7"/>
      <c r="I20" s="210">
        <f>+E20+G20</f>
        <v>1</v>
      </c>
      <c r="J20" s="210">
        <f>+F20+H20</f>
        <v>1</v>
      </c>
      <c r="M20" s="14"/>
    </row>
    <row r="21" spans="2:21">
      <c r="B21" s="409"/>
      <c r="C21" s="100"/>
      <c r="D21" s="1464"/>
      <c r="E21" s="1465"/>
      <c r="F21" s="1465"/>
      <c r="G21" s="1465"/>
      <c r="H21" s="1465"/>
      <c r="I21" s="1465"/>
      <c r="J21" s="1465"/>
      <c r="K21" s="1465"/>
      <c r="L21" s="1535"/>
      <c r="M21" s="1515"/>
    </row>
    <row r="22" spans="2:21" ht="15.75" thickBot="1">
      <c r="B22" s="409"/>
      <c r="C22" s="91"/>
      <c r="D22" s="411"/>
      <c r="E22" s="411"/>
      <c r="F22" s="458" t="s">
        <v>55</v>
      </c>
      <c r="G22" s="411"/>
      <c r="H22" s="411"/>
      <c r="I22" s="411"/>
      <c r="J22" s="411"/>
      <c r="K22" s="411"/>
      <c r="L22" s="455"/>
      <c r="M22" s="456"/>
    </row>
    <row r="23" spans="2:21" ht="24.75" thickBot="1">
      <c r="B23" s="409"/>
      <c r="C23" s="93"/>
      <c r="D23" s="43" t="s">
        <v>1020</v>
      </c>
      <c r="E23" s="454">
        <f>+I20</f>
        <v>1</v>
      </c>
      <c r="F23" s="457"/>
      <c r="G23" s="6"/>
      <c r="H23" s="6"/>
      <c r="I23" s="6"/>
      <c r="J23" s="6"/>
      <c r="K23" s="6"/>
      <c r="M23" s="14"/>
    </row>
    <row r="24" spans="2:21" ht="24.75" thickBot="1">
      <c r="B24" s="409"/>
      <c r="C24" s="93"/>
      <c r="D24" s="40" t="s">
        <v>1021</v>
      </c>
      <c r="E24" s="454">
        <f>+J20</f>
        <v>1</v>
      </c>
      <c r="F24" s="191"/>
      <c r="G24" s="6"/>
      <c r="H24" s="6"/>
      <c r="I24" s="6"/>
      <c r="J24" s="6"/>
      <c r="K24" s="6"/>
      <c r="M24" s="14"/>
    </row>
    <row r="25" spans="2:21" ht="24.75" thickBot="1">
      <c r="B25" s="409"/>
      <c r="C25" s="93"/>
      <c r="D25" s="40" t="s">
        <v>1022</v>
      </c>
      <c r="E25" s="438">
        <f>+E24/E23</f>
        <v>1</v>
      </c>
      <c r="F25" s="191"/>
      <c r="G25" s="6"/>
      <c r="H25" s="6"/>
      <c r="I25" s="6"/>
      <c r="J25" s="6"/>
      <c r="K25" s="6"/>
      <c r="M25" s="14"/>
    </row>
    <row r="26" spans="2:21">
      <c r="B26" s="409"/>
      <c r="C26" s="91"/>
      <c r="D26" s="1561" t="s">
        <v>1023</v>
      </c>
      <c r="E26" s="1562"/>
      <c r="F26" s="1562"/>
      <c r="G26" s="1562"/>
      <c r="H26" s="1562"/>
      <c r="I26" s="1562"/>
      <c r="J26" s="1562"/>
      <c r="K26" s="1562"/>
      <c r="L26" s="1637"/>
      <c r="M26" s="1599"/>
    </row>
    <row r="27" spans="2:21" ht="15.75" thickBot="1">
      <c r="B27" s="409"/>
      <c r="C27" s="91"/>
      <c r="D27" s="1461" t="s">
        <v>1024</v>
      </c>
      <c r="E27" s="1462"/>
      <c r="F27" s="1462"/>
      <c r="G27" s="1462"/>
      <c r="H27" s="1462"/>
      <c r="I27" s="1462"/>
      <c r="J27" s="1462"/>
      <c r="K27" s="1462"/>
      <c r="L27" s="1536"/>
      <c r="M27" s="1516"/>
    </row>
    <row r="28" spans="2:21" ht="24.75" thickBot="1">
      <c r="B28" s="409"/>
      <c r="C28" s="93"/>
      <c r="D28" s="43" t="s">
        <v>1025</v>
      </c>
      <c r="E28" s="436">
        <v>2</v>
      </c>
      <c r="F28" s="6"/>
      <c r="G28" s="6"/>
      <c r="H28" s="6"/>
      <c r="I28" s="6"/>
      <c r="J28" s="6"/>
      <c r="K28" s="6"/>
      <c r="M28" s="14"/>
    </row>
    <row r="29" spans="2:21" ht="24.75" thickBot="1">
      <c r="B29" s="409"/>
      <c r="C29" s="93"/>
      <c r="D29" s="40" t="s">
        <v>1026</v>
      </c>
      <c r="E29" s="436">
        <v>17</v>
      </c>
      <c r="F29" s="6"/>
      <c r="G29" s="6"/>
      <c r="H29" s="6"/>
      <c r="I29" s="6"/>
      <c r="J29" s="6"/>
      <c r="K29" s="6"/>
      <c r="M29" s="14"/>
    </row>
    <row r="30" spans="2:21" ht="24.75" thickBot="1">
      <c r="B30" s="409"/>
      <c r="C30" s="93"/>
      <c r="D30" s="40" t="s">
        <v>1027</v>
      </c>
      <c r="E30" s="436">
        <v>2</v>
      </c>
      <c r="F30" s="6"/>
      <c r="G30" s="6"/>
      <c r="H30" s="6"/>
      <c r="I30" s="6"/>
      <c r="J30" s="6"/>
      <c r="K30" s="6"/>
      <c r="M30" s="14"/>
    </row>
    <row r="31" spans="2:21" ht="15.75" thickBot="1">
      <c r="B31" s="409"/>
      <c r="C31" s="91"/>
      <c r="D31" s="1499" t="s">
        <v>1028</v>
      </c>
      <c r="E31" s="1500"/>
      <c r="F31" s="1500"/>
      <c r="G31" s="1500"/>
      <c r="H31" s="1500"/>
      <c r="I31" s="1500"/>
      <c r="J31" s="1500"/>
      <c r="K31" s="1500"/>
      <c r="L31" s="1638"/>
      <c r="M31" s="1517"/>
    </row>
    <row r="32" spans="2:21" ht="15.75" thickBot="1">
      <c r="B32" s="409"/>
      <c r="C32" s="97" t="s">
        <v>19</v>
      </c>
      <c r="D32" s="43" t="s">
        <v>1029</v>
      </c>
      <c r="E32" s="541">
        <v>1</v>
      </c>
      <c r="F32" s="541">
        <v>2</v>
      </c>
      <c r="G32" s="541">
        <v>3</v>
      </c>
      <c r="H32" s="541">
        <v>4</v>
      </c>
      <c r="I32" s="541">
        <v>5</v>
      </c>
      <c r="J32" s="541">
        <v>6</v>
      </c>
      <c r="K32" s="541">
        <v>7</v>
      </c>
      <c r="L32" s="541">
        <v>8</v>
      </c>
      <c r="M32" s="541">
        <v>9</v>
      </c>
      <c r="N32" s="541">
        <v>10</v>
      </c>
      <c r="O32" s="541">
        <v>11</v>
      </c>
      <c r="P32" s="541">
        <v>12</v>
      </c>
      <c r="Q32" s="541">
        <v>13</v>
      </c>
      <c r="R32" s="541">
        <v>14</v>
      </c>
      <c r="S32" s="541">
        <v>15</v>
      </c>
      <c r="T32" s="541">
        <v>16</v>
      </c>
      <c r="U32" s="543">
        <v>17</v>
      </c>
    </row>
    <row r="33" spans="2:21" ht="15.75" thickBot="1">
      <c r="B33" s="409"/>
      <c r="C33" s="3" t="s">
        <v>152</v>
      </c>
      <c r="D33" s="40" t="s">
        <v>1030</v>
      </c>
      <c r="E33" s="1231" t="s">
        <v>1423</v>
      </c>
      <c r="F33" s="1231" t="s">
        <v>1424</v>
      </c>
      <c r="G33" s="1231" t="s">
        <v>1425</v>
      </c>
      <c r="H33" s="1231" t="s">
        <v>1426</v>
      </c>
      <c r="I33" s="1231" t="s">
        <v>1427</v>
      </c>
      <c r="J33" s="1231" t="s">
        <v>1428</v>
      </c>
      <c r="K33" s="1231" t="s">
        <v>1429</v>
      </c>
      <c r="L33" s="531" t="s">
        <v>1430</v>
      </c>
      <c r="M33" s="531" t="s">
        <v>1431</v>
      </c>
      <c r="N33" s="531" t="s">
        <v>1432</v>
      </c>
      <c r="O33" s="531" t="s">
        <v>1433</v>
      </c>
      <c r="P33" s="531" t="s">
        <v>1434</v>
      </c>
      <c r="Q33" s="531" t="s">
        <v>1435</v>
      </c>
      <c r="R33" s="531" t="s">
        <v>1436</v>
      </c>
      <c r="S33" s="531" t="s">
        <v>2162</v>
      </c>
      <c r="T33" s="531" t="s">
        <v>1468</v>
      </c>
      <c r="U33" s="545" t="s">
        <v>1469</v>
      </c>
    </row>
    <row r="34" spans="2:21" ht="15.75" thickBot="1">
      <c r="B34" s="409"/>
      <c r="C34" s="3" t="s">
        <v>154</v>
      </c>
      <c r="D34" s="412" t="s">
        <v>1031</v>
      </c>
      <c r="E34" s="1232" t="s">
        <v>1437</v>
      </c>
      <c r="F34" s="1233" t="s">
        <v>1438</v>
      </c>
      <c r="G34" s="1233" t="s">
        <v>1439</v>
      </c>
      <c r="H34" s="1233" t="s">
        <v>1440</v>
      </c>
      <c r="I34" s="1233" t="s">
        <v>1441</v>
      </c>
      <c r="J34" s="1233" t="s">
        <v>1442</v>
      </c>
      <c r="K34" s="1233" t="s">
        <v>1437</v>
      </c>
      <c r="L34" s="532" t="s">
        <v>1443</v>
      </c>
      <c r="M34" s="532" t="s">
        <v>1444</v>
      </c>
      <c r="N34" s="532" t="s">
        <v>1437</v>
      </c>
      <c r="O34" s="532" t="s">
        <v>1445</v>
      </c>
      <c r="P34" s="532" t="s">
        <v>1446</v>
      </c>
      <c r="Q34" s="532" t="s">
        <v>1447</v>
      </c>
      <c r="R34" s="532" t="s">
        <v>1442</v>
      </c>
      <c r="S34" s="532" t="s">
        <v>1448</v>
      </c>
      <c r="T34" s="532" t="s">
        <v>1448</v>
      </c>
      <c r="U34" s="533" t="s">
        <v>1448</v>
      </c>
    </row>
    <row r="35" spans="2:21" ht="24.75" thickBot="1">
      <c r="B35" s="409"/>
      <c r="C35" s="3" t="s">
        <v>156</v>
      </c>
      <c r="D35" s="412" t="s">
        <v>1032</v>
      </c>
      <c r="E35" s="527">
        <v>121</v>
      </c>
      <c r="F35" s="527">
        <v>121</v>
      </c>
      <c r="G35" s="527">
        <v>121</v>
      </c>
      <c r="H35" s="527">
        <v>121</v>
      </c>
      <c r="I35" s="527">
        <v>121</v>
      </c>
      <c r="J35" s="527">
        <v>121</v>
      </c>
      <c r="K35" s="527">
        <v>121</v>
      </c>
      <c r="L35" s="527">
        <v>121</v>
      </c>
      <c r="M35" s="527">
        <v>121</v>
      </c>
      <c r="N35" s="527">
        <v>121</v>
      </c>
      <c r="O35" s="527">
        <v>121</v>
      </c>
      <c r="P35" s="527">
        <v>121</v>
      </c>
      <c r="Q35" s="527">
        <v>121</v>
      </c>
      <c r="R35" s="527">
        <v>121</v>
      </c>
      <c r="S35" s="527">
        <v>121</v>
      </c>
      <c r="T35" s="527">
        <v>121</v>
      </c>
      <c r="U35" s="546">
        <v>121</v>
      </c>
    </row>
    <row r="36" spans="2:21" ht="24.75" thickBot="1">
      <c r="B36" s="409"/>
      <c r="C36" s="3" t="s">
        <v>258</v>
      </c>
      <c r="D36" s="412" t="s">
        <v>1033</v>
      </c>
      <c r="E36" s="528">
        <f>28+9+8+8+10+11+10+10+9+10</f>
        <v>113</v>
      </c>
      <c r="F36" s="529">
        <f>19+11+10+10+10+10+11+8+10+10+10</f>
        <v>119</v>
      </c>
      <c r="G36" s="529">
        <f>19+10+10+9+10+10+11+10+10+10+10</f>
        <v>119</v>
      </c>
      <c r="H36" s="529">
        <f>17+11+9+10+9+9+11+10+9+10+10</f>
        <v>115</v>
      </c>
      <c r="I36" s="529">
        <f>18+10+9+8+9+10+11+10+10+10+10</f>
        <v>115</v>
      </c>
      <c r="J36" s="529">
        <f>18+11+9+10+10+10+11+10+10+10+10</f>
        <v>119</v>
      </c>
      <c r="K36" s="529">
        <f>18+8+10+10+10+10+11+10+10+10+10</f>
        <v>117</v>
      </c>
      <c r="L36" s="530">
        <f>18+11+10+9+10+10+11+10+10+10+10</f>
        <v>119</v>
      </c>
      <c r="M36" s="530">
        <f>17+11+9+6+9+10+11+10+10+10+10</f>
        <v>113</v>
      </c>
      <c r="N36" s="530">
        <f>19+11+10+10+10+10+11+10+10+9+10</f>
        <v>120</v>
      </c>
      <c r="O36" s="530">
        <f>19+11+10+9+10+10+11+9+10+10+10</f>
        <v>119</v>
      </c>
      <c r="P36" s="530">
        <f>19+10+10+9+10+10+11+10+10+10+10</f>
        <v>119</v>
      </c>
      <c r="Q36" s="530">
        <f>19+11+10+10+10+9+11+9+10+8+10</f>
        <v>117</v>
      </c>
      <c r="R36" s="530">
        <f>17+10+10+10+10+10+11+10+10+10+10</f>
        <v>118</v>
      </c>
      <c r="S36" s="530">
        <f>18+9+8+10+10+10+11+10+10+10+10</f>
        <v>116</v>
      </c>
      <c r="T36" s="530">
        <f>17+10+ 9+10+10+10+11+10+10+10+10</f>
        <v>117</v>
      </c>
      <c r="U36" s="547">
        <f>17+11+9+2+5+10+9+10+9+10+9</f>
        <v>101</v>
      </c>
    </row>
    <row r="37" spans="2:21" ht="24.75" thickBot="1">
      <c r="B37" s="409"/>
      <c r="C37" s="1541" t="s">
        <v>260</v>
      </c>
      <c r="D37" s="46" t="s">
        <v>1034</v>
      </c>
      <c r="E37" s="459">
        <f>IFERROR(E36/E35,"N.A.")</f>
        <v>0.93388429752066116</v>
      </c>
      <c r="F37" s="459">
        <f t="shared" ref="F37:L37" si="0">IFERROR(F36/F35,"N.A.")</f>
        <v>0.98347107438016534</v>
      </c>
      <c r="G37" s="459">
        <f t="shared" si="0"/>
        <v>0.98347107438016534</v>
      </c>
      <c r="H37" s="459">
        <f t="shared" si="0"/>
        <v>0.95041322314049592</v>
      </c>
      <c r="I37" s="459">
        <f t="shared" si="0"/>
        <v>0.95041322314049592</v>
      </c>
      <c r="J37" s="459">
        <f t="shared" si="0"/>
        <v>0.98347107438016534</v>
      </c>
      <c r="K37" s="459">
        <f t="shared" si="0"/>
        <v>0.96694214876033058</v>
      </c>
      <c r="L37" s="459">
        <f t="shared" si="0"/>
        <v>0.98347107438016534</v>
      </c>
      <c r="M37" s="459">
        <f t="shared" ref="M37:R37" si="1">IFERROR(M36/M35,"N.A.")</f>
        <v>0.93388429752066116</v>
      </c>
      <c r="N37" s="459">
        <f t="shared" si="1"/>
        <v>0.99173553719008267</v>
      </c>
      <c r="O37" s="459">
        <f t="shared" si="1"/>
        <v>0.98347107438016534</v>
      </c>
      <c r="P37" s="459">
        <f t="shared" si="1"/>
        <v>0.98347107438016534</v>
      </c>
      <c r="Q37" s="459">
        <f t="shared" si="1"/>
        <v>0.96694214876033058</v>
      </c>
      <c r="R37" s="459">
        <f t="shared" si="1"/>
        <v>0.97520661157024791</v>
      </c>
      <c r="S37" s="459">
        <f t="shared" ref="S37:T37" si="2">IFERROR(S36/S35,"N.A.")</f>
        <v>0.95867768595041325</v>
      </c>
      <c r="T37" s="459">
        <f t="shared" si="2"/>
        <v>0.96694214876033058</v>
      </c>
    </row>
    <row r="38" spans="2:21" ht="24.75" thickBot="1">
      <c r="B38" s="409"/>
      <c r="C38" s="1542"/>
      <c r="D38" s="40" t="s">
        <v>1035</v>
      </c>
      <c r="E38" s="152">
        <f>+IF(E37="N.A.","N.A.",IF(E37&gt;=75%,1,0))</f>
        <v>1</v>
      </c>
      <c r="F38" s="152">
        <f t="shared" ref="F38:L38" si="3">+IF(F37="N.A.","N.A.",IF(F37&gt;=75%,1,0))</f>
        <v>1</v>
      </c>
      <c r="G38" s="152">
        <f t="shared" si="3"/>
        <v>1</v>
      </c>
      <c r="H38" s="152">
        <f t="shared" si="3"/>
        <v>1</v>
      </c>
      <c r="I38" s="152">
        <f t="shared" si="3"/>
        <v>1</v>
      </c>
      <c r="J38" s="152">
        <f t="shared" si="3"/>
        <v>1</v>
      </c>
      <c r="K38" s="152">
        <f t="shared" si="3"/>
        <v>1</v>
      </c>
      <c r="L38" s="152">
        <f t="shared" si="3"/>
        <v>1</v>
      </c>
      <c r="M38" s="152">
        <f t="shared" ref="M38:R38" si="4">+IF(M37="N.A.","N.A.",IF(M37&gt;=75%,1,0))</f>
        <v>1</v>
      </c>
      <c r="N38" s="152">
        <f t="shared" si="4"/>
        <v>1</v>
      </c>
      <c r="O38" s="152">
        <f t="shared" si="4"/>
        <v>1</v>
      </c>
      <c r="P38" s="152">
        <f t="shared" si="4"/>
        <v>1</v>
      </c>
      <c r="Q38" s="152">
        <f t="shared" si="4"/>
        <v>1</v>
      </c>
      <c r="R38" s="152">
        <f t="shared" si="4"/>
        <v>1</v>
      </c>
      <c r="S38" s="534">
        <f t="shared" ref="S38:T38" si="5">+IF(S37="N.A.","N.A.",IF(S37&gt;=75%,1,0))</f>
        <v>1</v>
      </c>
      <c r="T38" s="534">
        <f t="shared" si="5"/>
        <v>1</v>
      </c>
    </row>
    <row r="39" spans="2:21" ht="142.5" customHeight="1" thickBot="1">
      <c r="B39" s="409"/>
      <c r="C39" s="3" t="s">
        <v>262</v>
      </c>
      <c r="D39" s="40" t="s">
        <v>1036</v>
      </c>
      <c r="E39" s="535" t="s">
        <v>2163</v>
      </c>
      <c r="F39" s="535" t="s">
        <v>2163</v>
      </c>
      <c r="G39" s="535" t="s">
        <v>2163</v>
      </c>
      <c r="H39" s="535" t="s">
        <v>2163</v>
      </c>
      <c r="I39" s="535" t="s">
        <v>2163</v>
      </c>
      <c r="J39" s="535" t="s">
        <v>2163</v>
      </c>
      <c r="K39" s="535" t="s">
        <v>2163</v>
      </c>
      <c r="L39" s="535" t="s">
        <v>2163</v>
      </c>
      <c r="M39" s="535" t="s">
        <v>2163</v>
      </c>
      <c r="N39" s="535" t="s">
        <v>2163</v>
      </c>
      <c r="O39" s="535" t="s">
        <v>2163</v>
      </c>
      <c r="P39" s="535" t="s">
        <v>2163</v>
      </c>
      <c r="Q39" s="535" t="s">
        <v>2163</v>
      </c>
      <c r="R39" s="535" t="s">
        <v>2163</v>
      </c>
      <c r="S39" s="535" t="s">
        <v>2163</v>
      </c>
      <c r="T39" s="535" t="s">
        <v>2163</v>
      </c>
      <c r="U39" s="535" t="s">
        <v>2163</v>
      </c>
    </row>
    <row r="40" spans="2:21">
      <c r="B40" s="409"/>
      <c r="C40" s="91"/>
      <c r="D40" s="1458"/>
      <c r="E40" s="1459"/>
      <c r="F40" s="1459"/>
      <c r="G40" s="1459"/>
      <c r="H40" s="1459"/>
      <c r="I40" s="1459"/>
      <c r="J40" s="1459"/>
      <c r="K40" s="1459"/>
      <c r="L40" s="1534"/>
      <c r="M40" s="1514"/>
    </row>
    <row r="41" spans="2:21" ht="15.75" thickBot="1">
      <c r="B41" s="409"/>
      <c r="C41" s="91"/>
      <c r="D41" s="1464" t="s">
        <v>1037</v>
      </c>
      <c r="E41" s="1465"/>
      <c r="F41" s="1465"/>
      <c r="G41" s="1465"/>
      <c r="H41" s="1465"/>
      <c r="I41" s="1465"/>
      <c r="J41" s="1465"/>
      <c r="K41" s="1465"/>
      <c r="L41" s="1535"/>
      <c r="M41" s="1515"/>
    </row>
    <row r="42" spans="2:21" ht="15.75" thickBot="1">
      <c r="B42" s="409"/>
      <c r="C42" s="97" t="s">
        <v>19</v>
      </c>
      <c r="D42" s="43" t="s">
        <v>1038</v>
      </c>
      <c r="E42" s="1234">
        <v>1</v>
      </c>
      <c r="F42" s="1234">
        <v>2</v>
      </c>
      <c r="G42" s="7"/>
      <c r="H42" s="43" t="s">
        <v>151</v>
      </c>
      <c r="I42" s="6"/>
      <c r="J42" s="159" t="s">
        <v>1175</v>
      </c>
      <c r="K42" s="6"/>
      <c r="M42" s="14"/>
    </row>
    <row r="43" spans="2:21" ht="24.75" thickBot="1">
      <c r="B43" s="409"/>
      <c r="C43" s="3" t="s">
        <v>264</v>
      </c>
      <c r="D43" s="40" t="s">
        <v>1039</v>
      </c>
      <c r="E43" s="1235" t="s">
        <v>1470</v>
      </c>
      <c r="F43" s="537" t="s">
        <v>1471</v>
      </c>
      <c r="G43" s="31"/>
      <c r="H43" s="153">
        <f>MAX(E42:G42)</f>
        <v>2</v>
      </c>
      <c r="I43" s="6"/>
      <c r="K43" s="6"/>
      <c r="M43" s="14"/>
    </row>
    <row r="44" spans="2:21" ht="15.75" thickBot="1">
      <c r="B44" s="409"/>
      <c r="C44" s="3" t="s">
        <v>266</v>
      </c>
      <c r="D44" s="40" t="s">
        <v>1040</v>
      </c>
      <c r="E44" s="536">
        <v>14</v>
      </c>
      <c r="F44" s="536">
        <v>3</v>
      </c>
      <c r="G44" s="7"/>
      <c r="H44" s="154">
        <f>SUM(E44:G44)</f>
        <v>17</v>
      </c>
      <c r="I44" s="6"/>
      <c r="J44" s="6"/>
      <c r="K44" s="6"/>
      <c r="M44" s="14"/>
    </row>
    <row r="45" spans="2:21" ht="36.75" thickBot="1">
      <c r="B45" s="409"/>
      <c r="C45" s="3" t="s">
        <v>268</v>
      </c>
      <c r="D45" s="40" t="s">
        <v>1041</v>
      </c>
      <c r="E45" s="536">
        <v>0</v>
      </c>
      <c r="F45" s="536">
        <v>0</v>
      </c>
      <c r="G45" s="7"/>
      <c r="H45" s="154">
        <f>SUM(E45:G45)</f>
        <v>0</v>
      </c>
      <c r="I45" s="6"/>
      <c r="J45" s="6"/>
      <c r="K45" s="6"/>
      <c r="M45" s="14"/>
    </row>
    <row r="46" spans="2:21" ht="24.75" thickBot="1">
      <c r="B46" s="409"/>
      <c r="C46" s="1541" t="s">
        <v>1042</v>
      </c>
      <c r="D46" s="46" t="s">
        <v>1043</v>
      </c>
      <c r="E46" s="151">
        <f>IFERROR(E45/E44,"N.A.")</f>
        <v>0</v>
      </c>
      <c r="F46" s="151">
        <f>IFERROR(F45/F44,"N.A.")</f>
        <v>0</v>
      </c>
      <c r="G46" s="151" t="str">
        <f>IFERROR(G45/G44,"N.A.")</f>
        <v>N.A.</v>
      </c>
      <c r="H46" s="155"/>
      <c r="I46" s="6"/>
      <c r="J46" s="6"/>
      <c r="K46" s="6"/>
      <c r="M46" s="14"/>
    </row>
    <row r="47" spans="2:21" ht="24.75" thickBot="1">
      <c r="B47" s="409"/>
      <c r="C47" s="1542"/>
      <c r="D47" s="40" t="s">
        <v>1044</v>
      </c>
      <c r="E47" s="152">
        <f>+IF(E46="N.A.","N.A.",IF(E46&gt;=75%,1,0))</f>
        <v>0</v>
      </c>
      <c r="F47" s="152">
        <f>+IF(F46="N.A.","N.A.",IF(F46&gt;=75%,1,0))</f>
        <v>0</v>
      </c>
      <c r="G47" s="152" t="str">
        <f>+IF(G46="N.A.","N.A.",IF(G46&gt;=75%,1,0))</f>
        <v>N.A.</v>
      </c>
      <c r="H47" s="154">
        <f>SUM(E47:G47)</f>
        <v>0</v>
      </c>
      <c r="I47" s="6"/>
      <c r="J47" s="6"/>
      <c r="K47" s="6"/>
      <c r="M47" s="14"/>
    </row>
    <row r="48" spans="2:21" ht="15.75" thickBot="1">
      <c r="B48" s="409"/>
      <c r="C48" s="3" t="s">
        <v>1045</v>
      </c>
      <c r="D48" s="1453" t="s">
        <v>1046</v>
      </c>
      <c r="E48" s="1454"/>
      <c r="F48" s="1454"/>
      <c r="G48" s="1455"/>
      <c r="H48" s="211">
        <f>IFERROR(H47/H43,"N.A.")</f>
        <v>0</v>
      </c>
      <c r="I48" s="6"/>
      <c r="J48" s="6"/>
      <c r="K48" s="6"/>
      <c r="M48" s="14"/>
    </row>
    <row r="49" spans="2:15" ht="15.75" thickBot="1">
      <c r="B49" s="409"/>
      <c r="C49" s="91"/>
      <c r="D49" s="1561" t="s">
        <v>1047</v>
      </c>
      <c r="E49" s="1562"/>
      <c r="F49" s="1562"/>
      <c r="G49" s="1562"/>
      <c r="H49" s="1562"/>
      <c r="I49" s="1562"/>
      <c r="J49" s="1562"/>
      <c r="K49" s="1562"/>
      <c r="L49" s="1637"/>
      <c r="M49" s="1599"/>
    </row>
    <row r="50" spans="2:15" ht="24.75" thickBot="1">
      <c r="B50" s="409"/>
      <c r="C50" s="93"/>
      <c r="D50" s="43" t="s">
        <v>1025</v>
      </c>
      <c r="E50" s="7">
        <v>1</v>
      </c>
      <c r="F50" s="6"/>
      <c r="G50" s="6"/>
      <c r="H50" s="6"/>
      <c r="I50" s="6"/>
      <c r="J50" s="6"/>
      <c r="K50" s="6"/>
      <c r="M50" s="14"/>
    </row>
    <row r="51" spans="2:15" ht="24.75" thickBot="1">
      <c r="B51" s="409"/>
      <c r="C51" s="93"/>
      <c r="D51" s="40" t="s">
        <v>1026</v>
      </c>
      <c r="E51" s="7">
        <v>17</v>
      </c>
      <c r="F51" s="6"/>
      <c r="G51" s="6"/>
      <c r="H51" s="6"/>
      <c r="I51" s="6"/>
      <c r="J51" s="6"/>
      <c r="K51" s="6"/>
      <c r="M51" s="14"/>
    </row>
    <row r="52" spans="2:15" ht="24.75" thickBot="1">
      <c r="B52" s="409"/>
      <c r="C52" s="93"/>
      <c r="D52" s="40" t="s">
        <v>1027</v>
      </c>
      <c r="E52" s="7">
        <v>1</v>
      </c>
      <c r="F52" s="6"/>
      <c r="G52" s="6"/>
      <c r="H52" s="6"/>
      <c r="I52" s="6"/>
      <c r="J52" s="6"/>
      <c r="K52" s="6"/>
      <c r="M52" s="14"/>
    </row>
    <row r="53" spans="2:15" ht="15.75" thickBot="1">
      <c r="B53" s="409"/>
      <c r="C53" s="91"/>
      <c r="D53" s="1499" t="s">
        <v>1028</v>
      </c>
      <c r="E53" s="1500"/>
      <c r="F53" s="1500"/>
      <c r="G53" s="1500"/>
      <c r="H53" s="1500"/>
      <c r="I53" s="1500"/>
      <c r="J53" s="1500"/>
      <c r="K53" s="1500"/>
      <c r="L53" s="1638"/>
      <c r="M53" s="1517"/>
    </row>
    <row r="54" spans="2:15" ht="15.75" thickBot="1">
      <c r="B54" s="409"/>
      <c r="C54" s="97" t="s">
        <v>19</v>
      </c>
      <c r="D54" s="43" t="s">
        <v>1029</v>
      </c>
      <c r="E54" s="549">
        <v>1</v>
      </c>
      <c r="F54" s="541">
        <v>2</v>
      </c>
      <c r="G54" s="541">
        <v>3</v>
      </c>
      <c r="H54" s="541">
        <v>4</v>
      </c>
      <c r="I54" s="541">
        <v>5</v>
      </c>
      <c r="J54" s="541">
        <v>6</v>
      </c>
      <c r="K54" s="543">
        <v>7</v>
      </c>
      <c r="L54" s="543">
        <v>8</v>
      </c>
      <c r="M54" s="543">
        <v>9</v>
      </c>
      <c r="N54" s="543">
        <v>10</v>
      </c>
      <c r="O54" s="543">
        <v>11</v>
      </c>
    </row>
    <row r="55" spans="2:15" ht="15.75" thickBot="1">
      <c r="B55" s="409"/>
      <c r="C55" s="3" t="s">
        <v>152</v>
      </c>
      <c r="D55" s="40" t="s">
        <v>1030</v>
      </c>
      <c r="E55" s="550" t="s">
        <v>1423</v>
      </c>
      <c r="F55" s="551" t="s">
        <v>1428</v>
      </c>
      <c r="G55" s="551" t="s">
        <v>1431</v>
      </c>
      <c r="H55" s="551" t="s">
        <v>1425</v>
      </c>
      <c r="I55" s="551" t="s">
        <v>1449</v>
      </c>
      <c r="J55" s="551" t="s">
        <v>1429</v>
      </c>
      <c r="K55" s="548" t="s">
        <v>1432</v>
      </c>
      <c r="L55" s="548" t="s">
        <v>1434</v>
      </c>
      <c r="M55" s="548" t="s">
        <v>1435</v>
      </c>
      <c r="N55" s="548" t="s">
        <v>1424</v>
      </c>
      <c r="O55" s="545" t="s">
        <v>1469</v>
      </c>
    </row>
    <row r="56" spans="2:15" ht="24.75" thickBot="1">
      <c r="B56" s="409"/>
      <c r="C56" s="3" t="s">
        <v>154</v>
      </c>
      <c r="D56" s="40" t="s">
        <v>1031</v>
      </c>
      <c r="E56" s="550" t="s">
        <v>1437</v>
      </c>
      <c r="F56" s="551" t="s">
        <v>1450</v>
      </c>
      <c r="G56" s="551" t="s">
        <v>1451</v>
      </c>
      <c r="H56" s="551" t="s">
        <v>1439</v>
      </c>
      <c r="I56" s="552" t="s">
        <v>1450</v>
      </c>
      <c r="J56" s="551" t="s">
        <v>1437</v>
      </c>
      <c r="K56" s="548" t="s">
        <v>1437</v>
      </c>
      <c r="L56" s="548" t="s">
        <v>1446</v>
      </c>
      <c r="M56" s="548" t="s">
        <v>1447</v>
      </c>
      <c r="N56" s="548" t="s">
        <v>1438</v>
      </c>
      <c r="O56" s="553" t="s">
        <v>1448</v>
      </c>
    </row>
    <row r="57" spans="2:15" ht="24.75" thickBot="1">
      <c r="B57" s="409"/>
      <c r="C57" s="3" t="s">
        <v>156</v>
      </c>
      <c r="D57" s="40" t="s">
        <v>1032</v>
      </c>
      <c r="E57" s="540">
        <v>121</v>
      </c>
      <c r="F57" s="540">
        <v>0</v>
      </c>
      <c r="G57" s="540">
        <v>121</v>
      </c>
      <c r="H57" s="540">
        <v>121</v>
      </c>
      <c r="I57" s="540">
        <v>121</v>
      </c>
      <c r="J57" s="540">
        <v>121</v>
      </c>
      <c r="K57" s="544">
        <v>121</v>
      </c>
      <c r="L57" s="544">
        <v>121</v>
      </c>
      <c r="M57" s="544">
        <v>121</v>
      </c>
      <c r="N57" s="544">
        <v>121</v>
      </c>
      <c r="O57" s="544">
        <v>121</v>
      </c>
    </row>
    <row r="58" spans="2:15" ht="24.75" thickBot="1">
      <c r="B58" s="409"/>
      <c r="C58" s="3" t="s">
        <v>258</v>
      </c>
      <c r="D58" s="40" t="s">
        <v>1033</v>
      </c>
      <c r="E58" s="540">
        <f>15+10+8+8+9+10+11+10+10+9+10</f>
        <v>110</v>
      </c>
      <c r="F58" s="542">
        <v>0</v>
      </c>
      <c r="G58" s="542">
        <f>17+9+9+8+9+10+11+10+10+9+10</f>
        <v>112</v>
      </c>
      <c r="H58" s="542">
        <f>19+10+10+10+9+10+11+10+10+10+10</f>
        <v>119</v>
      </c>
      <c r="I58" s="542">
        <f>19+10+10+7+10+10+11+10+10+10+10</f>
        <v>117</v>
      </c>
      <c r="J58" s="542">
        <f>17+9+10+8+10+10+11+10+10+10+10</f>
        <v>115</v>
      </c>
      <c r="K58" s="544">
        <f>19+11+9+10+10+0+0+7+10+10+9</f>
        <v>95</v>
      </c>
      <c r="L58" s="544">
        <f>19+11+5+8+10+0+0+10+10+10+10</f>
        <v>93</v>
      </c>
      <c r="M58" s="544">
        <f>19+10+6+4+8+9+11+9+10+10+10</f>
        <v>106</v>
      </c>
      <c r="N58" s="544">
        <f>0+0+0+0+0+10+0+11+8+10+10+10</f>
        <v>59</v>
      </c>
      <c r="O58" s="547">
        <f>17+11+9+2+5+10+9+10+9+10+9</f>
        <v>101</v>
      </c>
    </row>
    <row r="59" spans="2:15" ht="24.75" thickBot="1">
      <c r="B59" s="409"/>
      <c r="C59" s="1541" t="s">
        <v>260</v>
      </c>
      <c r="D59" s="46" t="s">
        <v>1034</v>
      </c>
      <c r="E59" s="151">
        <f t="shared" ref="E59:L59" si="6">IFERROR(E58/E57,"N.A.")</f>
        <v>0.90909090909090906</v>
      </c>
      <c r="F59" s="151" t="str">
        <f t="shared" si="6"/>
        <v>N.A.</v>
      </c>
      <c r="G59" s="151">
        <f t="shared" si="6"/>
        <v>0.92561983471074383</v>
      </c>
      <c r="H59" s="151">
        <f t="shared" si="6"/>
        <v>0.98347107438016534</v>
      </c>
      <c r="I59" s="151">
        <f t="shared" si="6"/>
        <v>0.96694214876033058</v>
      </c>
      <c r="J59" s="151">
        <f t="shared" si="6"/>
        <v>0.95041322314049592</v>
      </c>
      <c r="K59" s="151">
        <f t="shared" si="6"/>
        <v>0.78512396694214881</v>
      </c>
      <c r="L59" s="151">
        <f t="shared" si="6"/>
        <v>0.76859504132231404</v>
      </c>
      <c r="M59" s="538">
        <f t="shared" ref="M59:O59" si="7">IFERROR(M58/M57,"N.A.")</f>
        <v>0.87603305785123964</v>
      </c>
      <c r="N59" s="538">
        <f t="shared" si="7"/>
        <v>0.48760330578512395</v>
      </c>
      <c r="O59" s="538">
        <f t="shared" si="7"/>
        <v>0.83471074380165289</v>
      </c>
    </row>
    <row r="60" spans="2:15" ht="24.75" thickBot="1">
      <c r="B60" s="409"/>
      <c r="C60" s="1542"/>
      <c r="D60" s="40" t="s">
        <v>1048</v>
      </c>
      <c r="E60" s="152">
        <f>+IF(E59="N.A.","N.A.",IF(E59&gt;=75%,1,0))</f>
        <v>1</v>
      </c>
      <c r="F60" s="152" t="str">
        <f t="shared" ref="F60:L60" si="8">+IF(F59="N.A.","N.A.",IF(F59&gt;=75%,1,0))</f>
        <v>N.A.</v>
      </c>
      <c r="G60" s="152">
        <f t="shared" si="8"/>
        <v>1</v>
      </c>
      <c r="H60" s="152">
        <f t="shared" si="8"/>
        <v>1</v>
      </c>
      <c r="I60" s="152">
        <f t="shared" si="8"/>
        <v>1</v>
      </c>
      <c r="J60" s="152">
        <f t="shared" si="8"/>
        <v>1</v>
      </c>
      <c r="K60" s="152">
        <f t="shared" si="8"/>
        <v>1</v>
      </c>
      <c r="L60" s="152">
        <f t="shared" si="8"/>
        <v>1</v>
      </c>
      <c r="M60" s="539">
        <f t="shared" ref="M60:O60" si="9">+IF(M59="N.A.","N.A.",IF(M59&gt;=75%,1,0))</f>
        <v>1</v>
      </c>
      <c r="N60" s="539">
        <f t="shared" si="9"/>
        <v>0</v>
      </c>
      <c r="O60" s="539">
        <f t="shared" si="9"/>
        <v>1</v>
      </c>
    </row>
    <row r="61" spans="2:15" ht="205.5" customHeight="1" thickBot="1">
      <c r="B61" s="409"/>
      <c r="C61" s="3" t="s">
        <v>262</v>
      </c>
      <c r="D61" s="40" t="s">
        <v>1036</v>
      </c>
      <c r="E61" s="1236" t="s">
        <v>2163</v>
      </c>
      <c r="F61" s="1236" t="s">
        <v>2164</v>
      </c>
      <c r="G61" s="1236" t="s">
        <v>2163</v>
      </c>
      <c r="H61" s="1236" t="s">
        <v>2163</v>
      </c>
      <c r="I61" s="1236" t="s">
        <v>2163</v>
      </c>
      <c r="J61" s="1236" t="s">
        <v>2163</v>
      </c>
      <c r="K61" s="1236" t="s">
        <v>2163</v>
      </c>
      <c r="L61" s="1236" t="s">
        <v>2163</v>
      </c>
      <c r="M61" s="1236" t="s">
        <v>2163</v>
      </c>
      <c r="N61" s="1236" t="s">
        <v>2163</v>
      </c>
      <c r="O61" s="1236" t="s">
        <v>2163</v>
      </c>
    </row>
    <row r="62" spans="2:15">
      <c r="B62" s="409"/>
      <c r="C62" s="91"/>
      <c r="D62" s="1458"/>
      <c r="E62" s="1459"/>
      <c r="F62" s="1459"/>
      <c r="G62" s="1459"/>
      <c r="H62" s="1459"/>
      <c r="I62" s="1459"/>
      <c r="J62" s="1459"/>
      <c r="K62" s="1459"/>
      <c r="L62" s="1534"/>
      <c r="M62" s="1514"/>
    </row>
    <row r="63" spans="2:15" ht="15.75" thickBot="1">
      <c r="B63" s="409"/>
      <c r="C63" s="91"/>
      <c r="D63" s="1464" t="s">
        <v>1037</v>
      </c>
      <c r="E63" s="1465"/>
      <c r="F63" s="1465"/>
      <c r="G63" s="1465"/>
      <c r="H63" s="1465"/>
      <c r="I63" s="1465"/>
      <c r="J63" s="1465"/>
      <c r="K63" s="1465"/>
      <c r="L63" s="1535"/>
      <c r="M63" s="1515"/>
    </row>
    <row r="64" spans="2:15" ht="15.75" thickBot="1">
      <c r="B64" s="409"/>
      <c r="C64" s="97" t="s">
        <v>19</v>
      </c>
      <c r="D64" s="43" t="s">
        <v>1038</v>
      </c>
      <c r="E64" s="1237">
        <v>1</v>
      </c>
      <c r="F64" s="1237">
        <v>2</v>
      </c>
      <c r="G64" s="1225"/>
      <c r="H64" s="122" t="s">
        <v>151</v>
      </c>
      <c r="I64" s="6"/>
      <c r="J64" s="6"/>
      <c r="K64" s="6"/>
      <c r="M64" s="14"/>
    </row>
    <row r="65" spans="2:13" ht="24.75" thickBot="1">
      <c r="B65" s="409"/>
      <c r="C65" s="3" t="s">
        <v>264</v>
      </c>
      <c r="D65" s="40" t="s">
        <v>1039</v>
      </c>
      <c r="E65" s="555" t="s">
        <v>1470</v>
      </c>
      <c r="F65" s="555" t="s">
        <v>1471</v>
      </c>
      <c r="G65" s="39"/>
      <c r="H65" s="153">
        <v>2</v>
      </c>
      <c r="I65" s="6"/>
      <c r="J65" s="6"/>
      <c r="K65" s="6"/>
      <c r="M65" s="14"/>
    </row>
    <row r="66" spans="2:13" ht="15.75" thickBot="1">
      <c r="B66" s="409"/>
      <c r="C66" s="3" t="s">
        <v>266</v>
      </c>
      <c r="D66" s="40" t="s">
        <v>1040</v>
      </c>
      <c r="E66" s="556">
        <v>14</v>
      </c>
      <c r="F66" s="556">
        <v>1</v>
      </c>
      <c r="G66" s="7"/>
      <c r="H66" s="154">
        <v>17</v>
      </c>
      <c r="I66" s="6"/>
      <c r="J66" s="6"/>
      <c r="K66" s="6"/>
      <c r="M66" s="14"/>
    </row>
    <row r="67" spans="2:13" ht="36.75" thickBot="1">
      <c r="B67" s="409"/>
      <c r="C67" s="3" t="s">
        <v>268</v>
      </c>
      <c r="D67" s="40" t="s">
        <v>1049</v>
      </c>
      <c r="E67" s="556">
        <v>0</v>
      </c>
      <c r="F67" s="556">
        <v>0</v>
      </c>
      <c r="G67" s="7"/>
      <c r="H67" s="154">
        <v>17</v>
      </c>
      <c r="I67" s="6"/>
      <c r="J67" s="6"/>
      <c r="K67" s="6"/>
      <c r="M67" s="14"/>
    </row>
    <row r="68" spans="2:13" ht="24.75" thickBot="1">
      <c r="B68" s="409"/>
      <c r="C68" s="1541" t="s">
        <v>1042</v>
      </c>
      <c r="D68" s="46" t="s">
        <v>1043</v>
      </c>
      <c r="E68" s="151">
        <f>+E67/E66</f>
        <v>0</v>
      </c>
      <c r="F68" s="151">
        <f>+F67/F66</f>
        <v>0</v>
      </c>
      <c r="G68" s="151"/>
      <c r="H68" s="155"/>
      <c r="I68" s="6"/>
      <c r="J68" s="6"/>
      <c r="K68" s="6"/>
      <c r="M68" s="14"/>
    </row>
    <row r="69" spans="2:13" ht="24.75" thickBot="1">
      <c r="B69" s="409"/>
      <c r="C69" s="1542"/>
      <c r="D69" s="40" t="s">
        <v>1044</v>
      </c>
      <c r="E69" s="152">
        <f>+IF(E68&gt;=75%,1,0)</f>
        <v>0</v>
      </c>
      <c r="F69" s="152">
        <f>+IF(F68&gt;=75%,1,0)</f>
        <v>0</v>
      </c>
      <c r="G69" s="152"/>
      <c r="H69" s="154">
        <f>SUM(E69:G69)</f>
        <v>0</v>
      </c>
      <c r="I69" s="6"/>
      <c r="J69" s="6"/>
      <c r="K69" s="6"/>
      <c r="M69" s="14"/>
    </row>
    <row r="70" spans="2:13" ht="15.75" thickBot="1">
      <c r="B70" s="409"/>
      <c r="C70" s="3" t="s">
        <v>1045</v>
      </c>
      <c r="D70" s="1453" t="s">
        <v>1046</v>
      </c>
      <c r="E70" s="1454"/>
      <c r="F70" s="1454"/>
      <c r="G70" s="1455"/>
      <c r="H70" s="156">
        <f>IFERROR(H69/H65,"N.A.")</f>
        <v>0</v>
      </c>
      <c r="I70" s="6"/>
      <c r="J70" s="6"/>
      <c r="K70" s="6"/>
      <c r="M70" s="14"/>
    </row>
    <row r="71" spans="2:13">
      <c r="B71" s="409"/>
      <c r="C71" s="91"/>
      <c r="D71" s="1464"/>
      <c r="E71" s="1465"/>
      <c r="F71" s="1465"/>
      <c r="G71" s="1465"/>
      <c r="H71" s="1465"/>
      <c r="I71" s="1465"/>
      <c r="J71" s="1465"/>
      <c r="K71" s="1465"/>
      <c r="L71" s="1535"/>
      <c r="M71" s="1515"/>
    </row>
    <row r="72" spans="2:13" ht="15.75" thickBot="1">
      <c r="B72" s="409"/>
      <c r="C72" s="91"/>
      <c r="D72" s="1461" t="s">
        <v>1050</v>
      </c>
      <c r="E72" s="1462"/>
      <c r="F72" s="1462"/>
      <c r="G72" s="1462"/>
      <c r="H72" s="1462"/>
      <c r="I72" s="1462"/>
      <c r="J72" s="1462"/>
      <c r="K72" s="1462"/>
      <c r="L72" s="1536"/>
      <c r="M72" s="1516"/>
    </row>
    <row r="73" spans="2:13" ht="15.75" thickBot="1">
      <c r="B73" s="409"/>
      <c r="C73" s="97" t="s">
        <v>1051</v>
      </c>
      <c r="D73" s="38" t="s">
        <v>1052</v>
      </c>
      <c r="E73" s="157">
        <f>+H48</f>
        <v>0</v>
      </c>
      <c r="F73" s="6"/>
      <c r="G73" s="6"/>
      <c r="H73" s="6"/>
      <c r="I73" s="6"/>
      <c r="J73" s="6"/>
      <c r="K73" s="6"/>
      <c r="M73" s="14"/>
    </row>
    <row r="74" spans="2:13" ht="15.75" thickBot="1">
      <c r="B74" s="409"/>
      <c r="C74" s="3" t="s">
        <v>1053</v>
      </c>
      <c r="D74" s="39" t="s">
        <v>1054</v>
      </c>
      <c r="E74" s="158">
        <f>+H70</f>
        <v>0</v>
      </c>
      <c r="F74" s="6"/>
      <c r="G74" s="6"/>
      <c r="H74" s="6"/>
      <c r="I74" s="6"/>
      <c r="J74" s="6"/>
      <c r="K74" s="6"/>
      <c r="M74" s="14"/>
    </row>
    <row r="75" spans="2:13" ht="36.75" thickBot="1">
      <c r="B75" s="409"/>
      <c r="C75" s="3" t="s">
        <v>19</v>
      </c>
      <c r="D75" s="127" t="s">
        <v>1055</v>
      </c>
      <c r="E75" s="158">
        <f>AVERAGE(E73:E74)</f>
        <v>0</v>
      </c>
      <c r="F75" s="6"/>
      <c r="G75" s="6"/>
      <c r="H75" s="6"/>
      <c r="I75" s="6"/>
      <c r="J75" s="6"/>
      <c r="K75" s="6"/>
      <c r="M75" s="14"/>
    </row>
    <row r="76" spans="2:13">
      <c r="B76" s="409"/>
      <c r="C76" s="91"/>
      <c r="D76" s="1464"/>
      <c r="E76" s="1465"/>
      <c r="F76" s="1465"/>
      <c r="G76" s="1465"/>
      <c r="H76" s="1465"/>
      <c r="I76" s="1465"/>
      <c r="J76" s="1465"/>
      <c r="K76" s="1465"/>
      <c r="L76" s="1535"/>
      <c r="M76" s="1515"/>
    </row>
    <row r="77" spans="2:13" ht="15.75" thickBot="1">
      <c r="B77" s="409"/>
      <c r="C77" s="91"/>
      <c r="D77" s="1461" t="s">
        <v>1056</v>
      </c>
      <c r="E77" s="1462"/>
      <c r="F77" s="1462"/>
      <c r="G77" s="1462"/>
      <c r="H77" s="1462"/>
      <c r="I77" s="1462"/>
      <c r="J77" s="1462"/>
      <c r="K77" s="1462"/>
      <c r="L77" s="1536"/>
      <c r="M77" s="1516"/>
    </row>
    <row r="78" spans="2:13" ht="15.75" thickBot="1">
      <c r="B78" s="409"/>
      <c r="C78" s="93"/>
      <c r="D78" s="25"/>
      <c r="E78" s="38" t="s">
        <v>1057</v>
      </c>
      <c r="F78" s="38" t="s">
        <v>1058</v>
      </c>
      <c r="H78" s="6"/>
      <c r="I78" s="6"/>
      <c r="J78" s="6"/>
      <c r="K78" s="6"/>
      <c r="M78" s="14"/>
    </row>
    <row r="79" spans="2:13" ht="24.75" thickBot="1">
      <c r="B79" s="409"/>
      <c r="C79" s="93"/>
      <c r="D79" s="127" t="s">
        <v>1059</v>
      </c>
      <c r="E79" s="145">
        <f>+E25</f>
        <v>1</v>
      </c>
      <c r="F79" s="32">
        <v>0.5</v>
      </c>
      <c r="G79" s="6"/>
      <c r="H79" s="6"/>
      <c r="I79" s="6"/>
      <c r="J79" s="6"/>
      <c r="K79" s="6"/>
      <c r="M79" s="14"/>
    </row>
    <row r="80" spans="2:13" ht="24.75" thickBot="1">
      <c r="B80" s="409"/>
      <c r="C80" s="93"/>
      <c r="D80" s="127" t="s">
        <v>1060</v>
      </c>
      <c r="E80" s="145">
        <f>+E75</f>
        <v>0</v>
      </c>
      <c r="F80" s="32">
        <v>0.5</v>
      </c>
      <c r="G80" s="6"/>
      <c r="H80" s="6"/>
      <c r="I80" s="6"/>
      <c r="J80" s="6"/>
      <c r="K80" s="6"/>
      <c r="M80" s="14"/>
    </row>
    <row r="81" spans="2:13" ht="24.75" thickBot="1">
      <c r="B81" s="410"/>
      <c r="C81" s="3"/>
      <c r="D81" s="127" t="s">
        <v>993</v>
      </c>
      <c r="E81" s="207" t="str">
        <f>Formulas!$D$29</f>
        <v/>
      </c>
      <c r="F81" s="200">
        <f>IFERROR(Formulas!$E$29,0)</f>
        <v>0.5</v>
      </c>
      <c r="G81" s="23"/>
      <c r="H81" s="23"/>
      <c r="I81" s="23"/>
      <c r="J81" s="23"/>
      <c r="K81" s="23"/>
      <c r="L81" s="15"/>
      <c r="M81" s="11"/>
    </row>
    <row r="82" spans="2:13" ht="24" customHeight="1" thickBot="1">
      <c r="B82" s="47" t="s">
        <v>34</v>
      </c>
      <c r="C82" s="92"/>
      <c r="D82" s="1453" t="s">
        <v>1061</v>
      </c>
      <c r="E82" s="1454"/>
      <c r="F82" s="1454"/>
      <c r="G82" s="1454"/>
      <c r="H82" s="1454"/>
      <c r="I82" s="1454"/>
      <c r="J82" s="1454"/>
      <c r="K82" s="1454"/>
      <c r="L82" s="1533"/>
      <c r="M82" s="1518"/>
    </row>
    <row r="83" spans="2:13" ht="48.75" thickBot="1">
      <c r="B83" s="47" t="s">
        <v>36</v>
      </c>
      <c r="C83" s="92"/>
      <c r="D83" s="1453" t="s">
        <v>159</v>
      </c>
      <c r="E83" s="1454"/>
      <c r="F83" s="1454"/>
      <c r="G83" s="1454"/>
      <c r="H83" s="1454"/>
      <c r="I83" s="1454"/>
      <c r="J83" s="1454"/>
      <c r="K83" s="1454"/>
      <c r="L83" s="1533"/>
      <c r="M83" s="1518"/>
    </row>
    <row r="84" spans="2:13" ht="15.75" thickBot="1">
      <c r="B84" s="2"/>
      <c r="C84" s="75"/>
      <c r="D84" s="6"/>
      <c r="E84" s="6"/>
      <c r="F84" s="6"/>
      <c r="G84" s="6"/>
      <c r="H84" s="6"/>
      <c r="I84" s="6"/>
      <c r="J84" s="6"/>
      <c r="K84" s="6"/>
    </row>
    <row r="85" spans="2:13" ht="24" customHeight="1" thickBot="1">
      <c r="B85" s="1450" t="s">
        <v>38</v>
      </c>
      <c r="C85" s="1451"/>
      <c r="D85" s="1451"/>
      <c r="E85" s="1452"/>
      <c r="F85" s="6"/>
      <c r="G85" s="6"/>
      <c r="H85" s="6"/>
      <c r="I85" s="6"/>
      <c r="J85" s="6"/>
      <c r="K85" s="6"/>
    </row>
    <row r="86" spans="2:13" ht="36.75" thickBot="1">
      <c r="B86" s="1447">
        <v>1</v>
      </c>
      <c r="C86" s="93"/>
      <c r="D86" s="48" t="s">
        <v>39</v>
      </c>
      <c r="E86" s="447" t="s">
        <v>1399</v>
      </c>
      <c r="F86" s="6"/>
      <c r="G86" s="6"/>
      <c r="H86" s="6"/>
      <c r="I86" s="6"/>
      <c r="J86" s="6"/>
      <c r="K86" s="6"/>
    </row>
    <row r="87" spans="2:13" ht="24.75" thickBot="1">
      <c r="B87" s="1448"/>
      <c r="C87" s="93"/>
      <c r="D87" s="40" t="s">
        <v>40</v>
      </c>
      <c r="E87" s="447" t="s">
        <v>1400</v>
      </c>
      <c r="F87" s="6"/>
      <c r="G87" s="6"/>
      <c r="H87" s="6"/>
      <c r="I87" s="6"/>
      <c r="J87" s="6"/>
      <c r="K87" s="6"/>
    </row>
    <row r="88" spans="2:13" ht="15.75" thickBot="1">
      <c r="B88" s="1448"/>
      <c r="C88" s="93"/>
      <c r="D88" s="40" t="s">
        <v>41</v>
      </c>
      <c r="E88" s="447" t="s">
        <v>1478</v>
      </c>
      <c r="F88" s="6"/>
      <c r="G88" s="6"/>
      <c r="H88" s="6"/>
      <c r="I88" s="6"/>
      <c r="J88" s="6"/>
      <c r="K88" s="6"/>
    </row>
    <row r="89" spans="2:13" ht="15.75" thickBot="1">
      <c r="B89" s="1448"/>
      <c r="C89" s="93"/>
      <c r="D89" s="40" t="s">
        <v>42</v>
      </c>
      <c r="E89" s="447" t="s">
        <v>1390</v>
      </c>
      <c r="F89" s="6"/>
      <c r="G89" s="6"/>
      <c r="H89" s="6"/>
      <c r="I89" s="6"/>
      <c r="J89" s="6"/>
      <c r="K89" s="6"/>
    </row>
    <row r="90" spans="2:13" ht="24.75" thickBot="1">
      <c r="B90" s="1448"/>
      <c r="C90" s="93"/>
      <c r="D90" s="40" t="s">
        <v>43</v>
      </c>
      <c r="E90" s="447" t="s">
        <v>1391</v>
      </c>
      <c r="F90" s="6"/>
      <c r="G90" s="6"/>
      <c r="H90" s="6"/>
      <c r="I90" s="6"/>
      <c r="J90" s="6"/>
      <c r="K90" s="6"/>
    </row>
    <row r="91" spans="2:13" ht="15.75" thickBot="1">
      <c r="B91" s="1448"/>
      <c r="C91" s="93"/>
      <c r="D91" s="40" t="s">
        <v>44</v>
      </c>
      <c r="E91" s="447">
        <v>5748960</v>
      </c>
      <c r="F91" s="6"/>
      <c r="G91" s="6"/>
      <c r="H91" s="6"/>
      <c r="I91" s="6"/>
      <c r="J91" s="6"/>
      <c r="K91" s="6"/>
    </row>
    <row r="92" spans="2:13" ht="36.75" thickBot="1">
      <c r="B92" s="1449"/>
      <c r="C92" s="3"/>
      <c r="D92" s="40" t="s">
        <v>45</v>
      </c>
      <c r="E92" s="447" t="s">
        <v>1407</v>
      </c>
      <c r="F92" s="6"/>
      <c r="G92" s="6"/>
      <c r="H92" s="6"/>
      <c r="I92" s="6"/>
      <c r="J92" s="6"/>
      <c r="K92" s="6"/>
    </row>
    <row r="93" spans="2:13" ht="15.75" thickBot="1">
      <c r="B93" s="2"/>
      <c r="C93" s="75"/>
      <c r="D93" s="6"/>
      <c r="E93" s="6"/>
      <c r="F93" s="6"/>
      <c r="G93" s="6"/>
      <c r="H93" s="6"/>
      <c r="I93" s="6"/>
      <c r="J93" s="6"/>
      <c r="K93" s="6"/>
    </row>
    <row r="94" spans="2:13" ht="15.75" thickBot="1">
      <c r="B94" s="1450" t="s">
        <v>46</v>
      </c>
      <c r="C94" s="1451"/>
      <c r="D94" s="1451"/>
      <c r="E94" s="1452"/>
      <c r="F94" s="6"/>
      <c r="G94" s="6"/>
      <c r="H94" s="6"/>
      <c r="I94" s="6"/>
      <c r="J94" s="6"/>
      <c r="K94" s="6"/>
    </row>
    <row r="95" spans="2:13" ht="36.75" thickBot="1">
      <c r="B95" s="1447">
        <v>1</v>
      </c>
      <c r="C95" s="93"/>
      <c r="D95" s="48" t="s">
        <v>39</v>
      </c>
      <c r="E95" s="622" t="s">
        <v>47</v>
      </c>
      <c r="F95" s="6"/>
      <c r="G95" s="6"/>
      <c r="H95" s="6"/>
      <c r="I95" s="6"/>
      <c r="J95" s="6"/>
      <c r="K95" s="6"/>
    </row>
    <row r="96" spans="2:13" ht="48.75" thickBot="1">
      <c r="B96" s="1448"/>
      <c r="C96" s="93"/>
      <c r="D96" s="40" t="s">
        <v>40</v>
      </c>
      <c r="E96" s="622" t="s">
        <v>160</v>
      </c>
      <c r="F96" s="6"/>
      <c r="G96" s="6"/>
      <c r="H96" s="6"/>
      <c r="I96" s="6"/>
      <c r="J96" s="6"/>
      <c r="K96" s="6"/>
    </row>
    <row r="97" spans="2:11" ht="15.75" thickBot="1">
      <c r="B97" s="1448"/>
      <c r="C97" s="93"/>
      <c r="D97" s="40" t="s">
        <v>41</v>
      </c>
      <c r="E97" s="577"/>
      <c r="F97" s="6"/>
      <c r="G97" s="6"/>
      <c r="H97" s="6"/>
      <c r="I97" s="6"/>
      <c r="J97" s="6"/>
      <c r="K97" s="6"/>
    </row>
    <row r="98" spans="2:11" ht="15.75" thickBot="1">
      <c r="B98" s="1448"/>
      <c r="C98" s="93"/>
      <c r="D98" s="40" t="s">
        <v>42</v>
      </c>
      <c r="E98" s="577"/>
      <c r="F98" s="6"/>
      <c r="G98" s="6"/>
      <c r="H98" s="6"/>
      <c r="I98" s="6"/>
      <c r="J98" s="6"/>
      <c r="K98" s="6"/>
    </row>
    <row r="99" spans="2:11" ht="15.75" thickBot="1">
      <c r="B99" s="1448"/>
      <c r="C99" s="93"/>
      <c r="D99" s="40" t="s">
        <v>43</v>
      </c>
      <c r="E99" s="577"/>
      <c r="F99" s="6"/>
      <c r="G99" s="6"/>
      <c r="H99" s="6"/>
      <c r="I99" s="6"/>
      <c r="J99" s="6"/>
      <c r="K99" s="6"/>
    </row>
    <row r="100" spans="2:11" ht="15.75" thickBot="1">
      <c r="B100" s="1448"/>
      <c r="C100" s="93"/>
      <c r="D100" s="40" t="s">
        <v>44</v>
      </c>
      <c r="E100" s="168"/>
      <c r="F100" s="6"/>
      <c r="G100" s="6"/>
      <c r="H100" s="6"/>
      <c r="I100" s="6"/>
      <c r="J100" s="6"/>
      <c r="K100" s="6"/>
    </row>
    <row r="101" spans="2:11" ht="15.75" thickBot="1">
      <c r="B101" s="1449"/>
      <c r="C101" s="3"/>
      <c r="D101" s="40" t="s">
        <v>45</v>
      </c>
      <c r="E101" s="168"/>
      <c r="F101" s="6"/>
      <c r="G101" s="6"/>
      <c r="H101" s="6"/>
      <c r="I101" s="6"/>
      <c r="J101" s="6"/>
      <c r="K101" s="6"/>
    </row>
    <row r="102" spans="2:11" ht="15.75" thickBot="1">
      <c r="B102" s="2"/>
      <c r="C102" s="75"/>
      <c r="D102" s="6"/>
      <c r="E102" s="6"/>
      <c r="F102" s="6"/>
      <c r="G102" s="6"/>
      <c r="H102" s="6"/>
      <c r="I102" s="6"/>
      <c r="J102" s="6"/>
      <c r="K102" s="6"/>
    </row>
    <row r="103" spans="2:11" ht="15" customHeight="1" thickBot="1">
      <c r="B103" s="123" t="s">
        <v>49</v>
      </c>
      <c r="C103" s="124"/>
      <c r="D103" s="124"/>
      <c r="E103" s="125"/>
      <c r="G103" s="6"/>
      <c r="H103" s="6"/>
      <c r="I103" s="6"/>
      <c r="J103" s="6"/>
      <c r="K103" s="6"/>
    </row>
    <row r="104" spans="2:11" ht="24.75" thickBot="1">
      <c r="B104" s="47" t="s">
        <v>50</v>
      </c>
      <c r="C104" s="40" t="s">
        <v>51</v>
      </c>
      <c r="D104" s="40" t="s">
        <v>52</v>
      </c>
      <c r="E104" s="40" t="s">
        <v>53</v>
      </c>
      <c r="F104" s="6"/>
      <c r="G104" s="6"/>
      <c r="H104" s="6"/>
      <c r="I104" s="6"/>
      <c r="J104" s="6"/>
    </row>
    <row r="105" spans="2:11" ht="72.75" thickBot="1">
      <c r="B105" s="49">
        <v>42401</v>
      </c>
      <c r="C105" s="40">
        <v>1</v>
      </c>
      <c r="D105" s="50" t="s">
        <v>1062</v>
      </c>
      <c r="E105" s="40"/>
      <c r="F105" s="6"/>
      <c r="G105" s="6"/>
      <c r="H105" s="6"/>
      <c r="I105" s="6"/>
      <c r="J105" s="6"/>
    </row>
    <row r="106" spans="2:11" ht="15.75" thickBot="1">
      <c r="B106" s="4"/>
      <c r="C106" s="94"/>
      <c r="D106" s="6"/>
      <c r="E106" s="6"/>
      <c r="F106" s="6"/>
      <c r="G106" s="6"/>
      <c r="H106" s="6"/>
      <c r="I106" s="6"/>
      <c r="J106" s="6"/>
      <c r="K106" s="6"/>
    </row>
    <row r="107" spans="2:11" ht="24.75" thickBot="1">
      <c r="B107" s="134" t="s">
        <v>55</v>
      </c>
      <c r="C107" s="95"/>
      <c r="D107" s="6"/>
      <c r="E107" s="6"/>
      <c r="F107" s="6"/>
      <c r="G107" s="6"/>
      <c r="H107" s="6"/>
      <c r="I107" s="6"/>
      <c r="J107" s="6"/>
      <c r="K107" s="6"/>
    </row>
    <row r="108" spans="2:11">
      <c r="B108" s="1604"/>
      <c r="C108" s="1605"/>
      <c r="D108" s="1605"/>
      <c r="E108" s="1605"/>
      <c r="F108" s="1605"/>
      <c r="G108" s="1605"/>
      <c r="H108" s="1605"/>
      <c r="I108" s="1606"/>
      <c r="J108" s="6"/>
      <c r="K108" s="6"/>
    </row>
    <row r="109" spans="2:11" ht="15.75" thickBot="1">
      <c r="B109" s="1607"/>
      <c r="C109" s="1608"/>
      <c r="D109" s="1608"/>
      <c r="E109" s="1608"/>
      <c r="F109" s="1608"/>
      <c r="G109" s="1608"/>
      <c r="H109" s="1608"/>
      <c r="I109" s="1609"/>
      <c r="J109" s="6"/>
      <c r="K109" s="6"/>
    </row>
    <row r="110" spans="2:11" ht="15.75" thickBot="1">
      <c r="B110" s="6"/>
      <c r="D110" s="6"/>
      <c r="E110" s="6"/>
      <c r="F110" s="6"/>
      <c r="G110" s="6"/>
      <c r="H110" s="6"/>
      <c r="I110" s="6"/>
      <c r="J110" s="6"/>
      <c r="K110" s="6"/>
    </row>
    <row r="111" spans="2:11" ht="24.75" thickBot="1">
      <c r="B111" s="51" t="s">
        <v>56</v>
      </c>
      <c r="C111" s="96"/>
      <c r="D111" s="6"/>
      <c r="E111" s="6"/>
      <c r="F111" s="6"/>
      <c r="G111" s="6"/>
      <c r="H111" s="6"/>
      <c r="I111" s="6"/>
      <c r="J111" s="6"/>
      <c r="K111" s="6"/>
    </row>
    <row r="112" spans="2:11" ht="15.75" thickBot="1">
      <c r="B112" s="2"/>
      <c r="C112" s="75"/>
      <c r="D112" s="6"/>
      <c r="E112" s="6"/>
      <c r="F112" s="6"/>
      <c r="G112" s="6"/>
      <c r="H112" s="6"/>
      <c r="I112" s="6"/>
      <c r="J112" s="6"/>
      <c r="K112" s="6"/>
    </row>
    <row r="113" spans="2:11" ht="72.75" thickBot="1">
      <c r="B113" s="52" t="s">
        <v>57</v>
      </c>
      <c r="C113" s="97"/>
      <c r="D113" s="43" t="s">
        <v>994</v>
      </c>
      <c r="E113" s="6"/>
      <c r="F113" s="6"/>
      <c r="G113" s="6"/>
      <c r="H113" s="6"/>
      <c r="I113" s="6"/>
      <c r="J113" s="6"/>
      <c r="K113" s="6"/>
    </row>
    <row r="114" spans="2:11">
      <c r="B114" s="1447" t="s">
        <v>59</v>
      </c>
      <c r="C114" s="93"/>
      <c r="D114" s="53" t="s">
        <v>60</v>
      </c>
      <c r="E114" s="6"/>
      <c r="F114" s="6"/>
      <c r="G114" s="6"/>
      <c r="H114" s="6"/>
      <c r="I114" s="6"/>
      <c r="J114" s="6"/>
      <c r="K114" s="6"/>
    </row>
    <row r="115" spans="2:11" ht="108">
      <c r="B115" s="1448"/>
      <c r="C115" s="93"/>
      <c r="D115" s="46" t="s">
        <v>995</v>
      </c>
      <c r="E115" s="6"/>
      <c r="F115" s="6"/>
      <c r="G115" s="6"/>
      <c r="H115" s="6"/>
      <c r="I115" s="6"/>
      <c r="J115" s="6"/>
      <c r="K115" s="6"/>
    </row>
    <row r="116" spans="2:11">
      <c r="B116" s="1448"/>
      <c r="C116" s="93"/>
      <c r="D116" s="53" t="s">
        <v>134</v>
      </c>
      <c r="E116" s="6"/>
      <c r="F116" s="6"/>
      <c r="G116" s="6"/>
      <c r="H116" s="6"/>
      <c r="I116" s="6"/>
      <c r="J116" s="6"/>
      <c r="K116" s="6"/>
    </row>
    <row r="117" spans="2:11">
      <c r="B117" s="1448"/>
      <c r="C117" s="93"/>
      <c r="D117" s="46" t="s">
        <v>996</v>
      </c>
      <c r="E117" s="6"/>
      <c r="F117" s="6"/>
      <c r="G117" s="6"/>
      <c r="H117" s="6"/>
      <c r="I117" s="6"/>
      <c r="J117" s="6"/>
      <c r="K117" s="6"/>
    </row>
    <row r="118" spans="2:11" ht="48">
      <c r="B118" s="1448"/>
      <c r="C118" s="93"/>
      <c r="D118" s="46" t="s">
        <v>997</v>
      </c>
      <c r="E118" s="6"/>
      <c r="F118" s="6"/>
      <c r="G118" s="6"/>
      <c r="H118" s="6"/>
      <c r="I118" s="6"/>
      <c r="J118" s="6"/>
      <c r="K118" s="6"/>
    </row>
    <row r="119" spans="2:11">
      <c r="B119" s="1448"/>
      <c r="C119" s="93"/>
      <c r="D119" s="55" t="s">
        <v>998</v>
      </c>
      <c r="E119" s="6"/>
      <c r="F119" s="6"/>
      <c r="G119" s="6"/>
      <c r="H119" s="6"/>
      <c r="I119" s="6"/>
      <c r="J119" s="6"/>
      <c r="K119" s="6"/>
    </row>
    <row r="120" spans="2:11" ht="15.75" thickBot="1">
      <c r="B120" s="1449"/>
      <c r="C120" s="3"/>
      <c r="D120" s="56" t="s">
        <v>999</v>
      </c>
      <c r="E120" s="6"/>
      <c r="F120" s="6"/>
      <c r="G120" s="6"/>
      <c r="H120" s="6"/>
      <c r="I120" s="6"/>
      <c r="J120" s="6"/>
      <c r="K120" s="6"/>
    </row>
    <row r="121" spans="2:11" ht="24.75" thickBot="1">
      <c r="B121" s="47" t="s">
        <v>72</v>
      </c>
      <c r="C121" s="3"/>
      <c r="D121" s="40"/>
      <c r="E121" s="6"/>
      <c r="F121" s="6"/>
      <c r="G121" s="6"/>
      <c r="H121" s="6"/>
      <c r="I121" s="6"/>
      <c r="J121" s="6"/>
      <c r="K121" s="6"/>
    </row>
    <row r="122" spans="2:11" ht="72">
      <c r="B122" s="1447" t="s">
        <v>73</v>
      </c>
      <c r="C122" s="93"/>
      <c r="D122" s="46" t="s">
        <v>1000</v>
      </c>
      <c r="E122" s="6"/>
      <c r="F122" s="6"/>
      <c r="G122" s="6"/>
      <c r="H122" s="6"/>
      <c r="I122" s="6"/>
      <c r="J122" s="6"/>
      <c r="K122" s="6"/>
    </row>
    <row r="123" spans="2:11" ht="228">
      <c r="B123" s="1448"/>
      <c r="C123" s="93"/>
      <c r="D123" s="46" t="s">
        <v>1001</v>
      </c>
      <c r="E123" s="6"/>
      <c r="F123" s="6"/>
      <c r="G123" s="6"/>
      <c r="H123" s="6"/>
      <c r="I123" s="6"/>
      <c r="J123" s="6"/>
      <c r="K123" s="6"/>
    </row>
    <row r="124" spans="2:11" ht="84">
      <c r="B124" s="1448"/>
      <c r="C124" s="93"/>
      <c r="D124" s="46" t="s">
        <v>1002</v>
      </c>
      <c r="E124" s="6"/>
      <c r="F124" s="6"/>
      <c r="G124" s="6"/>
      <c r="H124" s="6"/>
      <c r="I124" s="6"/>
      <c r="J124" s="6"/>
      <c r="K124" s="6"/>
    </row>
    <row r="125" spans="2:11" ht="216.75" thickBot="1">
      <c r="B125" s="1449"/>
      <c r="C125" s="3"/>
      <c r="D125" s="40" t="s">
        <v>1003</v>
      </c>
      <c r="E125" s="6"/>
      <c r="F125" s="6"/>
      <c r="G125" s="6"/>
      <c r="H125" s="6"/>
      <c r="I125" s="6"/>
      <c r="J125" s="6"/>
      <c r="K125" s="6"/>
    </row>
    <row r="126" spans="2:11">
      <c r="B126" s="1447" t="s">
        <v>90</v>
      </c>
      <c r="C126" s="93"/>
      <c r="D126" s="46"/>
      <c r="E126" s="6"/>
      <c r="F126" s="6"/>
      <c r="G126" s="6"/>
      <c r="H126" s="6"/>
      <c r="I126" s="6"/>
      <c r="J126" s="6"/>
      <c r="K126" s="6"/>
    </row>
    <row r="127" spans="2:11">
      <c r="B127" s="1448"/>
      <c r="C127" s="93"/>
      <c r="D127" s="17"/>
      <c r="E127" s="6"/>
      <c r="F127" s="6"/>
      <c r="G127" s="6"/>
      <c r="H127" s="6"/>
      <c r="I127" s="6"/>
      <c r="J127" s="6"/>
      <c r="K127" s="6"/>
    </row>
    <row r="128" spans="2:11">
      <c r="B128" s="1448"/>
      <c r="C128" s="93"/>
      <c r="D128" s="46" t="s">
        <v>91</v>
      </c>
      <c r="E128" s="6"/>
      <c r="F128" s="6"/>
      <c r="G128" s="6"/>
      <c r="H128" s="6"/>
      <c r="I128" s="6"/>
      <c r="J128" s="6"/>
      <c r="K128" s="6"/>
    </row>
    <row r="129" spans="2:11" ht="37.5">
      <c r="B129" s="1448"/>
      <c r="C129" s="93"/>
      <c r="D129" s="46" t="s">
        <v>1004</v>
      </c>
      <c r="E129" s="6"/>
      <c r="F129" s="6"/>
      <c r="G129" s="6"/>
      <c r="H129" s="6"/>
      <c r="I129" s="6"/>
      <c r="J129" s="6"/>
      <c r="K129" s="6"/>
    </row>
    <row r="130" spans="2:11" ht="37.5">
      <c r="B130" s="1448"/>
      <c r="C130" s="93"/>
      <c r="D130" s="46" t="s">
        <v>1005</v>
      </c>
      <c r="E130" s="6"/>
      <c r="F130" s="6"/>
      <c r="G130" s="6"/>
      <c r="H130" s="6"/>
      <c r="I130" s="6"/>
      <c r="J130" s="6"/>
      <c r="K130" s="6"/>
    </row>
    <row r="131" spans="2:11" ht="37.5">
      <c r="B131" s="1448"/>
      <c r="C131" s="93"/>
      <c r="D131" s="46" t="s">
        <v>1006</v>
      </c>
      <c r="E131" s="6"/>
      <c r="F131" s="6"/>
      <c r="G131" s="6"/>
      <c r="H131" s="6"/>
      <c r="I131" s="6"/>
      <c r="J131" s="6"/>
      <c r="K131" s="6"/>
    </row>
    <row r="132" spans="2:11" ht="37.5">
      <c r="B132" s="1448"/>
      <c r="C132" s="93"/>
      <c r="D132" s="46" t="s">
        <v>1007</v>
      </c>
      <c r="E132" s="6"/>
      <c r="F132" s="6"/>
      <c r="G132" s="6"/>
      <c r="H132" s="6"/>
      <c r="I132" s="6"/>
      <c r="J132" s="6"/>
      <c r="K132" s="6"/>
    </row>
    <row r="133" spans="2:11">
      <c r="B133" s="1448"/>
      <c r="C133" s="93"/>
      <c r="D133" s="46" t="s">
        <v>1008</v>
      </c>
      <c r="E133" s="6"/>
      <c r="F133" s="6"/>
      <c r="G133" s="6"/>
      <c r="H133" s="6"/>
      <c r="I133" s="6"/>
      <c r="J133" s="6"/>
      <c r="K133" s="6"/>
    </row>
    <row r="134" spans="2:11">
      <c r="B134" s="1448"/>
      <c r="C134" s="93"/>
      <c r="D134" s="46" t="s">
        <v>1009</v>
      </c>
      <c r="E134" s="6"/>
      <c r="F134" s="6"/>
      <c r="G134" s="6"/>
      <c r="H134" s="6"/>
      <c r="I134" s="6"/>
      <c r="J134" s="6"/>
      <c r="K134" s="6"/>
    </row>
    <row r="135" spans="2:11">
      <c r="B135" s="1448"/>
      <c r="C135" s="93"/>
      <c r="D135" s="46" t="s">
        <v>1010</v>
      </c>
      <c r="E135" s="6"/>
      <c r="F135" s="6"/>
      <c r="G135" s="6"/>
      <c r="H135" s="6"/>
      <c r="I135" s="6"/>
      <c r="J135" s="6"/>
      <c r="K135" s="6"/>
    </row>
    <row r="136" spans="2:11">
      <c r="B136" s="1448"/>
      <c r="C136" s="93"/>
      <c r="D136" s="46" t="s">
        <v>99</v>
      </c>
      <c r="E136" s="6"/>
      <c r="F136" s="6"/>
      <c r="G136" s="6"/>
      <c r="H136" s="6"/>
      <c r="I136" s="6"/>
      <c r="J136" s="6"/>
      <c r="K136" s="6"/>
    </row>
    <row r="137" spans="2:11" ht="60.75" thickBot="1">
      <c r="B137" s="1449"/>
      <c r="C137" s="3"/>
      <c r="D137" s="40" t="s">
        <v>1011</v>
      </c>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sheetData>
  <sheetProtection insertColumns="0" insertRows="0"/>
  <mergeCells count="48">
    <mergeCell ref="B15:B19"/>
    <mergeCell ref="B108:I109"/>
    <mergeCell ref="D83:M83"/>
    <mergeCell ref="B85:E85"/>
    <mergeCell ref="B86:B92"/>
    <mergeCell ref="B94:E94"/>
    <mergeCell ref="B95:B101"/>
    <mergeCell ref="D41:M41"/>
    <mergeCell ref="D15:M15"/>
    <mergeCell ref="D16:M16"/>
    <mergeCell ref="D17:M17"/>
    <mergeCell ref="D26:M26"/>
    <mergeCell ref="D27:M27"/>
    <mergeCell ref="D31:M31"/>
    <mergeCell ref="D40:M40"/>
    <mergeCell ref="D18:D19"/>
    <mergeCell ref="E18:F18"/>
    <mergeCell ref="D62:M62"/>
    <mergeCell ref="D48:G48"/>
    <mergeCell ref="C59:C60"/>
    <mergeCell ref="D49:M49"/>
    <mergeCell ref="D53:M53"/>
    <mergeCell ref="I18:J18"/>
    <mergeCell ref="C37:C38"/>
    <mergeCell ref="G18:H18"/>
    <mergeCell ref="D21:M21"/>
    <mergeCell ref="C46:C47"/>
    <mergeCell ref="D77:M77"/>
    <mergeCell ref="B114:B120"/>
    <mergeCell ref="B122:B125"/>
    <mergeCell ref="B126:B137"/>
    <mergeCell ref="D82:M82"/>
    <mergeCell ref="D76:M76"/>
    <mergeCell ref="D70:G70"/>
    <mergeCell ref="C68:C69"/>
    <mergeCell ref="D63:M63"/>
    <mergeCell ref="D71:M71"/>
    <mergeCell ref="D72:M72"/>
    <mergeCell ref="B10:D10"/>
    <mergeCell ref="F10:R10"/>
    <mergeCell ref="F11:R11"/>
    <mergeCell ref="E12:R12"/>
    <mergeCell ref="E13:R13"/>
    <mergeCell ref="A1:P1"/>
    <mergeCell ref="A2:P2"/>
    <mergeCell ref="A3:P3"/>
    <mergeCell ref="A4:D4"/>
    <mergeCell ref="A5:P5"/>
  </mergeCells>
  <conditionalFormatting sqref="E81">
    <cfRule type="containsText" dxfId="28" priority="7" operator="containsText" text="ERROR">
      <formula>NOT(ISERROR(SEARCH("ERROR",E81)))</formula>
    </cfRule>
  </conditionalFormatting>
  <conditionalFormatting sqref="F11:R11">
    <cfRule type="expression" dxfId="27" priority="4">
      <formula>E11="NO SE REPORTA"</formula>
    </cfRule>
    <cfRule type="expression" dxfId="26" priority="5">
      <formula>E10="NO APLICA"</formula>
    </cfRule>
  </conditionalFormatting>
  <conditionalFormatting sqref="E12:R12">
    <cfRule type="expression" dxfId="25" priority="3">
      <formula>E11="SI SE REPORTA"</formula>
    </cfRule>
  </conditionalFormatting>
  <conditionalFormatting sqref="F10:R10">
    <cfRule type="expression" dxfId="24" priority="1">
      <formula>E10="NO SE REPORTA"</formula>
    </cfRule>
    <cfRule type="expression" dxfId="23" priority="2">
      <formula>E9="NO APLICA"</formula>
    </cfRule>
  </conditionalFormatting>
  <dataValidations count="4">
    <dataValidation type="whole" operator="greaterThanOrEqual" allowBlank="1" showErrorMessage="1" errorTitle="ERROR" error="Escriba un número igual o mayor que 0" promptTitle="ERROR" prompt="Escriba un número igual o mayor que 0" sqref="E20:J20 E50:E52 E28:E30 G44:G45 F57:J57 E57:E58 E66:G67">
      <formula1>0</formula1>
    </dataValidation>
    <dataValidation type="decimal" allowBlank="1" showInputMessage="1" showErrorMessage="1" errorTitle="ERROR" error="Escriba un valor entre 0% y 100%" sqref="F79:F80">
      <formula1>0</formula1>
      <formula2>1</formula2>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D119" r:id="rId1" display="http://www.sisaire.gov.co/"/>
    <hyperlink ref="D120" r:id="rId2" display="http://www.sirh.ideam.gov.co/"/>
    <hyperlink ref="B9" location="'ANEXO 3'!A1" display="VOLVER AL INDICE"/>
  </hyperlinks>
  <pageMargins left="0.25" right="0.25" top="0.75" bottom="0.75" header="0.3" footer="0.3"/>
  <pageSetup paperSize="178" orientation="landscape" horizontalDpi="1200" verticalDpi="1200" r:id="rId3"/>
  <drawing r:id="rId4"/>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T183"/>
  <sheetViews>
    <sheetView showGridLines="0" zoomScale="98" zoomScaleNormal="98" workbookViewId="0">
      <selection activeCell="N29" sqref="N29"/>
    </sheetView>
  </sheetViews>
  <sheetFormatPr baseColWidth="10" defaultRowHeight="15"/>
  <cols>
    <col min="1" max="1" width="1.85546875" customWidth="1"/>
    <col min="2" max="2" width="12.85546875" customWidth="1"/>
    <col min="3" max="3" width="5.140625" style="86" bestFit="1" customWidth="1"/>
    <col min="4" max="4" width="34.85546875" customWidth="1"/>
    <col min="5" max="5" width="12.140625" customWidth="1"/>
    <col min="11" max="11" width="22" customWidth="1"/>
  </cols>
  <sheetData>
    <row r="1" spans="1:20" s="490" customFormat="1" ht="100.5" customHeight="1" thickBot="1">
      <c r="A1" s="1334"/>
      <c r="B1" s="1335"/>
      <c r="C1" s="1335"/>
      <c r="D1" s="1335"/>
      <c r="E1" s="1335"/>
      <c r="F1" s="1335"/>
      <c r="G1" s="1335"/>
      <c r="H1" s="1335"/>
      <c r="I1" s="1335"/>
      <c r="J1" s="1335"/>
      <c r="K1" s="1335"/>
      <c r="L1" s="1335"/>
      <c r="M1" s="1335"/>
      <c r="N1" s="1335"/>
      <c r="O1" s="1335"/>
      <c r="P1" s="1336"/>
      <c r="Q1" s="389"/>
      <c r="R1" s="389"/>
    </row>
    <row r="2" spans="1:20" s="491" customFormat="1" ht="16.5" thickBot="1">
      <c r="A2" s="1342" t="str">
        <f>'Datos Generales'!C5</f>
        <v>Corporación Autónoma Regional del Cesar – CORPOCESAR</v>
      </c>
      <c r="B2" s="1343"/>
      <c r="C2" s="1343"/>
      <c r="D2" s="1343"/>
      <c r="E2" s="1343"/>
      <c r="F2" s="1343"/>
      <c r="G2" s="1343"/>
      <c r="H2" s="1343"/>
      <c r="I2" s="1343"/>
      <c r="J2" s="1343"/>
      <c r="K2" s="1343"/>
      <c r="L2" s="1343"/>
      <c r="M2" s="1343"/>
      <c r="N2" s="1343"/>
      <c r="O2" s="1343"/>
      <c r="P2" s="1344"/>
      <c r="Q2" s="389"/>
      <c r="R2" s="389"/>
    </row>
    <row r="3" spans="1:20" s="491" customFormat="1" ht="16.5" thickBot="1">
      <c r="A3" s="1337" t="s">
        <v>1294</v>
      </c>
      <c r="B3" s="1338"/>
      <c r="C3" s="1338"/>
      <c r="D3" s="1338"/>
      <c r="E3" s="1338"/>
      <c r="F3" s="1338"/>
      <c r="G3" s="1338"/>
      <c r="H3" s="1338"/>
      <c r="I3" s="1338"/>
      <c r="J3" s="1338"/>
      <c r="K3" s="1338"/>
      <c r="L3" s="1338"/>
      <c r="M3" s="1338"/>
      <c r="N3" s="1338"/>
      <c r="O3" s="1338"/>
      <c r="P3" s="1339"/>
      <c r="Q3" s="389"/>
      <c r="R3" s="389"/>
    </row>
    <row r="4" spans="1:20" s="491" customFormat="1" ht="16.5" thickBot="1">
      <c r="A4" s="1340" t="s">
        <v>1293</v>
      </c>
      <c r="B4" s="1341"/>
      <c r="C4" s="1341"/>
      <c r="D4" s="1341"/>
      <c r="E4" s="498">
        <v>2022</v>
      </c>
      <c r="F4" s="498"/>
      <c r="G4" s="498"/>
      <c r="H4" s="498"/>
      <c r="I4" s="498"/>
      <c r="J4" s="498"/>
      <c r="K4" s="498"/>
      <c r="L4" s="499"/>
      <c r="M4" s="499"/>
      <c r="N4" s="499"/>
      <c r="O4" s="499"/>
      <c r="P4" s="500"/>
      <c r="Q4" s="389"/>
      <c r="R4" s="389"/>
    </row>
    <row r="5" spans="1:20" s="235" customFormat="1" ht="16.5" customHeight="1" thickBot="1">
      <c r="A5" s="1337" t="s">
        <v>1063</v>
      </c>
      <c r="B5" s="1338"/>
      <c r="C5" s="1338"/>
      <c r="D5" s="1338"/>
      <c r="E5" s="1338"/>
      <c r="F5" s="1338"/>
      <c r="G5" s="1338"/>
      <c r="H5" s="1338"/>
      <c r="I5" s="1338"/>
      <c r="J5" s="1338"/>
      <c r="K5" s="1338"/>
      <c r="L5" s="1338"/>
      <c r="M5" s="1338"/>
      <c r="N5" s="1338"/>
      <c r="O5" s="1338"/>
      <c r="P5" s="1339"/>
    </row>
    <row r="6" spans="1:20">
      <c r="B6" s="2" t="s">
        <v>1</v>
      </c>
      <c r="C6" s="75"/>
      <c r="D6" s="6"/>
      <c r="E6" s="73"/>
      <c r="F6" s="6" t="s">
        <v>128</v>
      </c>
      <c r="G6" s="6"/>
      <c r="H6" s="6"/>
      <c r="I6" s="6"/>
      <c r="J6" s="6"/>
      <c r="K6" s="6"/>
    </row>
    <row r="7" spans="1:20" ht="15.75" thickBot="1">
      <c r="B7" s="74"/>
      <c r="C7" s="76"/>
      <c r="D7" s="6"/>
      <c r="E7" s="18"/>
      <c r="F7" s="6" t="s">
        <v>129</v>
      </c>
      <c r="G7" s="6"/>
      <c r="H7" s="6"/>
      <c r="I7" s="6"/>
      <c r="J7" s="6"/>
      <c r="K7" s="6"/>
    </row>
    <row r="8" spans="1:20" ht="15.75" thickBot="1">
      <c r="B8" s="171" t="s">
        <v>1181</v>
      </c>
      <c r="C8" s="213">
        <v>2022</v>
      </c>
      <c r="D8" s="218">
        <f>IF(E10="NO APLICA","NO APLICA",IF(E11="NO SE REPORTA","SIN INFORMACION",+E30))</f>
        <v>0.97347209468421581</v>
      </c>
      <c r="E8" s="214"/>
      <c r="F8" s="6" t="s">
        <v>130</v>
      </c>
      <c r="G8" s="6"/>
      <c r="H8" s="6"/>
      <c r="I8" s="6"/>
      <c r="J8" s="6"/>
      <c r="K8" s="6"/>
    </row>
    <row r="9" spans="1:20">
      <c r="B9" s="462" t="s">
        <v>1182</v>
      </c>
      <c r="D9" s="6"/>
      <c r="E9" s="6"/>
      <c r="F9" s="6"/>
      <c r="G9" s="6"/>
      <c r="H9" s="6"/>
      <c r="I9" s="6"/>
      <c r="J9" s="6"/>
      <c r="K9" s="6"/>
    </row>
    <row r="10" spans="1:20" s="389" customFormat="1" ht="15" customHeight="1">
      <c r="A10" s="235"/>
      <c r="B10" s="1392" t="s">
        <v>1236</v>
      </c>
      <c r="C10" s="1392"/>
      <c r="D10" s="1392"/>
      <c r="E10" s="468" t="s">
        <v>1233</v>
      </c>
      <c r="F10" s="1412" t="str">
        <f>'20Negoc'!F10</f>
        <v>Acuerdo 005 del 22 de mayo de 2020 (Por medio del cual se aprueba el Plan de Accion Institucional 2020 -2023)</v>
      </c>
      <c r="G10" s="1412"/>
      <c r="H10" s="1412"/>
      <c r="I10" s="1412"/>
      <c r="J10" s="1412"/>
      <c r="K10" s="1412"/>
      <c r="L10" s="1412"/>
      <c r="M10" s="1412"/>
      <c r="N10" s="1412"/>
      <c r="O10" s="1412"/>
      <c r="P10" s="1412"/>
      <c r="Q10" s="1412"/>
      <c r="R10" s="1412"/>
      <c r="S10" s="464"/>
      <c r="T10" s="464"/>
    </row>
    <row r="11" spans="1:20" s="389" customFormat="1" ht="14.45" customHeight="1">
      <c r="A11" s="235"/>
      <c r="B11" s="465"/>
      <c r="C11" s="466"/>
      <c r="D11" s="467" t="str">
        <f>IF(E10="SI APLICA","¿El indicador no se reporta por limitaciones de información disponible? ","")</f>
        <v xml:space="preserve">¿El indicador no se reporta por limitaciones de información disponible? </v>
      </c>
      <c r="E11" s="469" t="s">
        <v>1235</v>
      </c>
      <c r="F11" s="1412"/>
      <c r="G11" s="1412"/>
      <c r="H11" s="1412"/>
      <c r="I11" s="1412"/>
      <c r="J11" s="1412"/>
      <c r="K11" s="1412"/>
      <c r="L11" s="1412"/>
      <c r="M11" s="1412"/>
      <c r="N11" s="1412"/>
      <c r="O11" s="1412"/>
      <c r="P11" s="1412"/>
      <c r="Q11" s="1412"/>
      <c r="R11" s="1412"/>
    </row>
    <row r="12" spans="1:20" s="389" customFormat="1" ht="28.5" customHeight="1">
      <c r="A12" s="235"/>
      <c r="B12" s="462"/>
      <c r="C12" s="292"/>
      <c r="D12" s="467" t="str">
        <f>IF(E11="SI SE REPORTA","¿Qué programas o proyectos del Plan de Acción están asociados al indicador? ","")</f>
        <v xml:space="preserve">¿Qué programas o proyectos del Plan de Acción están asociados al indicador? </v>
      </c>
      <c r="E12" s="1430" t="s">
        <v>2123</v>
      </c>
      <c r="F12" s="1430"/>
      <c r="G12" s="1430"/>
      <c r="H12" s="1430"/>
      <c r="I12" s="1430"/>
      <c r="J12" s="1430"/>
      <c r="K12" s="1430"/>
      <c r="L12" s="1430"/>
      <c r="M12" s="1430"/>
      <c r="N12" s="1430"/>
      <c r="O12" s="1430"/>
      <c r="P12" s="1430"/>
      <c r="Q12" s="1430"/>
      <c r="R12" s="1430"/>
    </row>
    <row r="13" spans="1:20" s="389" customFormat="1" ht="57" customHeight="1">
      <c r="A13" s="235"/>
      <c r="B13" s="462"/>
      <c r="C13" s="292"/>
      <c r="D13" s="467" t="s">
        <v>1238</v>
      </c>
      <c r="E13" s="1395" t="s">
        <v>2165</v>
      </c>
      <c r="F13" s="1396"/>
      <c r="G13" s="1396"/>
      <c r="H13" s="1396"/>
      <c r="I13" s="1396"/>
      <c r="J13" s="1396"/>
      <c r="K13" s="1396"/>
      <c r="L13" s="1396"/>
      <c r="M13" s="1396"/>
      <c r="N13" s="1396"/>
      <c r="O13" s="1396"/>
      <c r="P13" s="1396"/>
      <c r="Q13" s="1396"/>
      <c r="R13" s="1397"/>
    </row>
    <row r="14" spans="1:20" s="389" customFormat="1" ht="15.75" thickBot="1">
      <c r="B14" s="462"/>
      <c r="C14" s="86"/>
      <c r="D14" s="6"/>
      <c r="E14" s="6"/>
      <c r="F14" s="6"/>
      <c r="G14" s="6"/>
      <c r="H14" s="6"/>
      <c r="I14" s="6"/>
      <c r="J14" s="6"/>
      <c r="K14" s="6"/>
    </row>
    <row r="15" spans="1:20">
      <c r="B15" s="1447" t="s">
        <v>2</v>
      </c>
      <c r="C15" s="88"/>
      <c r="D15" s="1641" t="s">
        <v>1077</v>
      </c>
      <c r="E15" s="1642"/>
      <c r="F15" s="1642"/>
      <c r="G15" s="1642"/>
      <c r="H15" s="1589"/>
      <c r="I15" s="6"/>
      <c r="J15" s="6"/>
      <c r="K15" s="6"/>
      <c r="L15" s="6"/>
      <c r="M15" s="6"/>
      <c r="N15" s="6"/>
      <c r="O15" s="6"/>
    </row>
    <row r="16" spans="1:20">
      <c r="B16" s="1448"/>
      <c r="C16" s="91"/>
      <c r="D16" s="1461" t="s">
        <v>1095</v>
      </c>
      <c r="E16" s="1462"/>
      <c r="F16" s="1462"/>
      <c r="G16" s="1462"/>
      <c r="H16" s="1463"/>
      <c r="I16" s="6"/>
      <c r="J16" s="6"/>
      <c r="K16" s="6"/>
      <c r="L16" s="6"/>
      <c r="M16" s="6"/>
      <c r="N16" s="6"/>
      <c r="O16" s="6"/>
    </row>
    <row r="17" spans="1:15" ht="15.75" thickBot="1">
      <c r="B17" s="1448"/>
      <c r="C17" s="91"/>
      <c r="D17" s="1499" t="s">
        <v>3</v>
      </c>
      <c r="E17" s="1500"/>
      <c r="F17" s="1500"/>
      <c r="G17" s="1500"/>
      <c r="H17" s="1501"/>
      <c r="I17" s="6"/>
      <c r="J17" s="6"/>
      <c r="K17" s="6"/>
      <c r="L17" s="6"/>
      <c r="M17" s="6"/>
      <c r="N17" s="6"/>
      <c r="O17" s="6"/>
    </row>
    <row r="18" spans="1:15" ht="15.75" thickBot="1">
      <c r="B18" s="1448"/>
      <c r="C18" s="97" t="s">
        <v>19</v>
      </c>
      <c r="D18" s="38" t="s">
        <v>1096</v>
      </c>
      <c r="E18" s="38" t="s">
        <v>1097</v>
      </c>
      <c r="F18" s="38" t="s">
        <v>1098</v>
      </c>
      <c r="G18" s="38" t="s">
        <v>1099</v>
      </c>
      <c r="H18" s="114"/>
      <c r="I18" s="6"/>
      <c r="J18" s="6"/>
      <c r="K18" s="6"/>
      <c r="L18" s="6"/>
      <c r="M18" s="6"/>
      <c r="N18" s="6"/>
      <c r="O18" s="6"/>
    </row>
    <row r="19" spans="1:15" ht="24.75" thickBot="1">
      <c r="B19" s="1448"/>
      <c r="C19" s="3" t="s">
        <v>152</v>
      </c>
      <c r="D19" s="127" t="s">
        <v>1100</v>
      </c>
      <c r="E19" s="149">
        <v>0</v>
      </c>
      <c r="F19" s="557">
        <v>3007</v>
      </c>
      <c r="G19" s="149">
        <v>0</v>
      </c>
      <c r="H19" s="115"/>
      <c r="I19" s="6"/>
      <c r="J19" s="6"/>
      <c r="K19" s="6"/>
      <c r="L19" s="6"/>
      <c r="M19" s="6"/>
      <c r="N19" s="6"/>
      <c r="O19" s="6"/>
    </row>
    <row r="20" spans="1:15" ht="24.75" thickBot="1">
      <c r="B20" s="1448"/>
      <c r="C20" s="3" t="s">
        <v>154</v>
      </c>
      <c r="D20" s="127" t="s">
        <v>1101</v>
      </c>
      <c r="E20" s="149">
        <v>0</v>
      </c>
      <c r="F20" s="557">
        <v>3267</v>
      </c>
      <c r="G20" s="149">
        <v>0</v>
      </c>
      <c r="H20" s="115"/>
      <c r="I20" s="6"/>
      <c r="J20" s="6"/>
      <c r="K20" s="6"/>
      <c r="L20" s="6"/>
      <c r="M20" s="6"/>
      <c r="N20" s="6"/>
      <c r="O20" s="6"/>
    </row>
    <row r="21" spans="1:15" ht="24.75" thickBot="1">
      <c r="B21" s="1448"/>
      <c r="C21" s="3" t="s">
        <v>156</v>
      </c>
      <c r="D21" s="127" t="s">
        <v>1102</v>
      </c>
      <c r="E21" s="150" t="str">
        <f>IFERROR(E19/E20,"N.A")</f>
        <v>N.A</v>
      </c>
      <c r="F21" s="150">
        <f>IFERROR(F19/F20,"N.A")</f>
        <v>0.92041628405264764</v>
      </c>
      <c r="G21" s="150" t="str">
        <f>IFERROR(G19/G20,"N.A")</f>
        <v>N.A</v>
      </c>
      <c r="H21" s="116"/>
      <c r="I21" s="6"/>
      <c r="J21" s="6" t="s">
        <v>1190</v>
      </c>
      <c r="K21" s="6"/>
      <c r="L21" s="6"/>
      <c r="M21" s="6"/>
      <c r="N21" s="6"/>
      <c r="O21" s="6"/>
    </row>
    <row r="22" spans="1:15">
      <c r="B22" s="1448"/>
      <c r="C22" s="91"/>
      <c r="D22" s="1458"/>
      <c r="E22" s="1459"/>
      <c r="F22" s="1459"/>
      <c r="G22" s="1459"/>
      <c r="H22" s="1460"/>
      <c r="I22" s="6"/>
      <c r="J22" s="6"/>
      <c r="K22" s="6"/>
      <c r="L22" s="6"/>
      <c r="M22" s="6"/>
      <c r="N22" s="6"/>
      <c r="O22" s="6"/>
    </row>
    <row r="23" spans="1:15" ht="24" customHeight="1" thickBot="1">
      <c r="B23" s="1448"/>
      <c r="C23" s="91"/>
      <c r="D23" s="1461" t="s">
        <v>1090</v>
      </c>
      <c r="E23" s="1462"/>
      <c r="F23" s="1462"/>
      <c r="G23" s="1462"/>
      <c r="H23" s="1463"/>
      <c r="I23" s="6"/>
      <c r="J23" s="6"/>
      <c r="K23" s="6"/>
      <c r="L23" s="6"/>
      <c r="M23" s="6"/>
      <c r="N23" s="6"/>
      <c r="O23" s="6"/>
    </row>
    <row r="24" spans="1:15" ht="15.75" thickBot="1">
      <c r="B24" s="1448"/>
      <c r="C24" s="97" t="s">
        <v>19</v>
      </c>
      <c r="D24" s="38" t="s">
        <v>1096</v>
      </c>
      <c r="E24" s="38" t="s">
        <v>1103</v>
      </c>
      <c r="F24" s="38" t="s">
        <v>1104</v>
      </c>
      <c r="H24" s="22"/>
      <c r="I24" s="6"/>
      <c r="J24" s="6"/>
      <c r="K24" s="6"/>
      <c r="L24" s="6"/>
      <c r="M24" s="6"/>
      <c r="N24" s="6"/>
      <c r="O24" s="6"/>
    </row>
    <row r="25" spans="1:15" ht="24.75" thickBot="1">
      <c r="B25" s="1448"/>
      <c r="C25" s="3" t="s">
        <v>152</v>
      </c>
      <c r="D25" s="127" t="s">
        <v>1105</v>
      </c>
      <c r="E25" s="149">
        <v>244</v>
      </c>
      <c r="F25" s="149">
        <v>10</v>
      </c>
      <c r="H25" s="22"/>
      <c r="I25" s="6"/>
      <c r="J25" s="6"/>
      <c r="K25" s="6"/>
      <c r="L25" s="6"/>
      <c r="M25" s="6"/>
      <c r="N25" s="6"/>
      <c r="O25" s="6"/>
    </row>
    <row r="26" spans="1:15" ht="24.75" thickBot="1">
      <c r="B26" s="1448"/>
      <c r="C26" s="3" t="s">
        <v>154</v>
      </c>
      <c r="D26" s="127" t="s">
        <v>1106</v>
      </c>
      <c r="E26" s="149">
        <v>244</v>
      </c>
      <c r="F26" s="149">
        <v>10</v>
      </c>
      <c r="H26" s="22"/>
      <c r="I26" s="6"/>
      <c r="J26" s="6"/>
      <c r="K26" s="6"/>
      <c r="L26" s="6"/>
      <c r="M26" s="6"/>
      <c r="N26" s="6"/>
      <c r="O26" s="6"/>
    </row>
    <row r="27" spans="1:15" ht="24.75" thickBot="1">
      <c r="B27" s="1448"/>
      <c r="C27" s="128" t="s">
        <v>156</v>
      </c>
      <c r="D27" s="127" t="s">
        <v>1176</v>
      </c>
      <c r="E27" s="150">
        <f>IFERROR(E25/E26,"N.A.")</f>
        <v>1</v>
      </c>
      <c r="F27" s="150">
        <f>IFERROR(F25/F26,"N.A.")</f>
        <v>1</v>
      </c>
      <c r="H27" s="22"/>
      <c r="I27" s="6"/>
      <c r="J27" s="6" t="s">
        <v>1190</v>
      </c>
      <c r="K27" s="6"/>
    </row>
    <row r="28" spans="1:15" ht="15.75" thickBot="1">
      <c r="B28" s="1449"/>
      <c r="C28" s="128"/>
      <c r="D28" s="126"/>
      <c r="E28" s="126"/>
      <c r="F28" s="126"/>
      <c r="G28" s="126"/>
      <c r="H28" s="24"/>
      <c r="I28" s="6"/>
      <c r="J28" s="6"/>
      <c r="K28" s="6"/>
    </row>
    <row r="29" spans="1:15" s="389" customFormat="1" ht="15.75" thickBot="1">
      <c r="A29" s="6"/>
      <c r="B29" s="6"/>
      <c r="C29" s="6"/>
      <c r="D29" s="6"/>
      <c r="E29" s="6"/>
      <c r="F29" s="6"/>
      <c r="G29" s="6"/>
      <c r="H29" s="6"/>
      <c r="I29" s="6"/>
      <c r="J29" s="6"/>
      <c r="K29" s="6"/>
    </row>
    <row r="30" spans="1:15" s="389" customFormat="1" ht="25.7" customHeight="1" thickBot="1">
      <c r="A30" s="6"/>
      <c r="B30" s="6"/>
      <c r="C30" s="6"/>
      <c r="D30" s="52" t="s">
        <v>1231</v>
      </c>
      <c r="E30" s="150">
        <f>AVERAGE(E21:G21,E27:F27)</f>
        <v>0.97347209468421581</v>
      </c>
      <c r="F30" s="406"/>
      <c r="G30" s="406"/>
      <c r="H30" s="404"/>
      <c r="I30" s="6"/>
      <c r="J30" s="6"/>
      <c r="K30" s="6"/>
    </row>
    <row r="31" spans="1:15" s="389" customFormat="1">
      <c r="A31" s="6"/>
      <c r="B31" s="6"/>
      <c r="C31" s="6"/>
      <c r="D31" s="6"/>
      <c r="E31" s="6"/>
      <c r="F31" s="6"/>
      <c r="G31" s="6"/>
      <c r="H31" s="6"/>
      <c r="I31" s="6"/>
      <c r="J31" s="6"/>
      <c r="K31" s="6"/>
    </row>
    <row r="32" spans="1:15" s="389" customFormat="1" ht="15.75" thickBot="1">
      <c r="A32" s="6"/>
      <c r="B32" s="6"/>
      <c r="C32" s="6"/>
      <c r="D32" s="6"/>
      <c r="E32" s="6"/>
      <c r="F32" s="6"/>
      <c r="G32" s="6"/>
      <c r="H32" s="6"/>
      <c r="I32" s="6"/>
      <c r="J32" s="6"/>
      <c r="K32" s="6"/>
    </row>
    <row r="33" spans="2:11" ht="36" customHeight="1" thickBot="1">
      <c r="B33" s="52" t="s">
        <v>34</v>
      </c>
      <c r="C33" s="405"/>
      <c r="D33" s="1453" t="s">
        <v>1107</v>
      </c>
      <c r="E33" s="1454"/>
      <c r="F33" s="1454"/>
      <c r="G33" s="1454"/>
      <c r="H33" s="1455"/>
      <c r="I33" s="6"/>
      <c r="J33" s="6"/>
      <c r="K33" s="6"/>
    </row>
    <row r="34" spans="2:11" ht="48" customHeight="1" thickBot="1">
      <c r="B34" s="47" t="s">
        <v>36</v>
      </c>
      <c r="C34" s="92"/>
      <c r="D34" s="1453" t="s">
        <v>1108</v>
      </c>
      <c r="E34" s="1454"/>
      <c r="F34" s="1454"/>
      <c r="G34" s="1454"/>
      <c r="H34" s="1455"/>
      <c r="I34" s="6"/>
      <c r="J34" s="6"/>
      <c r="K34" s="6"/>
    </row>
    <row r="35" spans="2:11" ht="15.75" thickBot="1">
      <c r="B35" s="2"/>
      <c r="C35" s="75"/>
      <c r="D35" s="6"/>
      <c r="E35" s="6"/>
      <c r="F35" s="6"/>
      <c r="G35" s="6"/>
      <c r="H35" s="6"/>
      <c r="I35" s="6"/>
      <c r="J35" s="6"/>
      <c r="K35" s="6"/>
    </row>
    <row r="36" spans="2:11" ht="24" customHeight="1" thickBot="1">
      <c r="B36" s="1450" t="s">
        <v>38</v>
      </c>
      <c r="C36" s="1451"/>
      <c r="D36" s="1451"/>
      <c r="E36" s="1452"/>
      <c r="F36" s="6"/>
      <c r="G36" s="6"/>
      <c r="H36" s="6"/>
      <c r="I36" s="6"/>
      <c r="J36" s="6"/>
      <c r="K36" s="6"/>
    </row>
    <row r="37" spans="2:11" ht="60.75" thickBot="1">
      <c r="B37" s="1447">
        <v>1</v>
      </c>
      <c r="C37" s="93"/>
      <c r="D37" s="48" t="s">
        <v>39</v>
      </c>
      <c r="E37" s="447" t="s">
        <v>1452</v>
      </c>
      <c r="F37" s="6"/>
      <c r="G37" s="6"/>
      <c r="H37" s="6"/>
      <c r="I37" s="6"/>
      <c r="J37" s="6"/>
      <c r="K37" s="6"/>
    </row>
    <row r="38" spans="2:11" ht="48.75" thickBot="1">
      <c r="B38" s="1448"/>
      <c r="C38" s="93"/>
      <c r="D38" s="40" t="s">
        <v>40</v>
      </c>
      <c r="E38" s="447" t="s">
        <v>1400</v>
      </c>
      <c r="F38" s="6"/>
      <c r="G38" s="6"/>
      <c r="H38" s="6"/>
      <c r="I38" s="6"/>
      <c r="J38" s="6"/>
      <c r="K38" s="6"/>
    </row>
    <row r="39" spans="2:11" ht="24.75" thickBot="1">
      <c r="B39" s="1448"/>
      <c r="C39" s="93"/>
      <c r="D39" s="40" t="s">
        <v>41</v>
      </c>
      <c r="E39" s="447" t="s">
        <v>1476</v>
      </c>
      <c r="F39" s="6"/>
      <c r="G39" s="6"/>
      <c r="H39" s="6"/>
      <c r="I39" s="6"/>
      <c r="J39" s="6"/>
      <c r="K39" s="6"/>
    </row>
    <row r="40" spans="2:11" ht="15.75" thickBot="1">
      <c r="B40" s="1448"/>
      <c r="C40" s="93"/>
      <c r="D40" s="40" t="s">
        <v>42</v>
      </c>
      <c r="E40" s="447" t="s">
        <v>1390</v>
      </c>
      <c r="F40" s="6"/>
      <c r="G40" s="6"/>
      <c r="H40" s="6"/>
      <c r="I40" s="6"/>
      <c r="J40" s="6"/>
      <c r="K40" s="6"/>
    </row>
    <row r="41" spans="2:11" ht="48.75" thickBot="1">
      <c r="B41" s="1448"/>
      <c r="C41" s="93"/>
      <c r="D41" s="40" t="s">
        <v>43</v>
      </c>
      <c r="E41" s="447" t="s">
        <v>1391</v>
      </c>
      <c r="F41" s="6"/>
      <c r="G41" s="6"/>
      <c r="H41" s="6"/>
      <c r="I41" s="6"/>
      <c r="J41" s="6"/>
      <c r="K41" s="6"/>
    </row>
    <row r="42" spans="2:11" ht="15.75" thickBot="1">
      <c r="B42" s="1448"/>
      <c r="C42" s="93"/>
      <c r="D42" s="40" t="s">
        <v>44</v>
      </c>
      <c r="E42" s="447">
        <v>5748960</v>
      </c>
      <c r="F42" s="6"/>
      <c r="G42" s="6"/>
      <c r="H42" s="6"/>
      <c r="I42" s="6"/>
      <c r="J42" s="6"/>
      <c r="K42" s="6"/>
    </row>
    <row r="43" spans="2:11" ht="60.75" thickBot="1">
      <c r="B43" s="1449"/>
      <c r="C43" s="3"/>
      <c r="D43" s="40" t="s">
        <v>45</v>
      </c>
      <c r="E43" s="447" t="s">
        <v>1407</v>
      </c>
      <c r="F43" s="6"/>
      <c r="G43" s="6"/>
      <c r="H43" s="6"/>
      <c r="I43" s="6"/>
      <c r="J43" s="6"/>
      <c r="K43" s="6"/>
    </row>
    <row r="44" spans="2:11" ht="15.75" thickBot="1">
      <c r="B44" s="2"/>
      <c r="C44" s="75"/>
      <c r="D44" s="6"/>
      <c r="E44" s="6"/>
      <c r="F44" s="6"/>
      <c r="G44" s="6"/>
      <c r="H44" s="6"/>
      <c r="I44" s="6"/>
      <c r="J44" s="6"/>
      <c r="K44" s="6"/>
    </row>
    <row r="45" spans="2:11" ht="15.75" thickBot="1">
      <c r="B45" s="1450" t="s">
        <v>46</v>
      </c>
      <c r="C45" s="1451"/>
      <c r="D45" s="1451"/>
      <c r="E45" s="1519"/>
      <c r="F45" s="6"/>
      <c r="G45" s="6"/>
      <c r="H45" s="6"/>
      <c r="I45" s="6"/>
      <c r="J45" s="6"/>
      <c r="K45" s="6"/>
    </row>
    <row r="46" spans="2:11" ht="90.75" thickBot="1">
      <c r="B46" s="1447">
        <v>1</v>
      </c>
      <c r="C46" s="93"/>
      <c r="D46" s="1238" t="s">
        <v>39</v>
      </c>
      <c r="E46" s="1239" t="s">
        <v>47</v>
      </c>
      <c r="F46" s="6"/>
      <c r="G46" s="6"/>
      <c r="H46" s="6"/>
      <c r="I46" s="6"/>
      <c r="J46" s="6"/>
      <c r="K46" s="6"/>
    </row>
    <row r="47" spans="2:11" ht="135.75" thickBot="1">
      <c r="B47" s="1448"/>
      <c r="C47" s="93"/>
      <c r="D47" s="1226" t="s">
        <v>40</v>
      </c>
      <c r="E47" s="1239" t="s">
        <v>160</v>
      </c>
      <c r="F47" s="6"/>
      <c r="G47" s="6"/>
      <c r="H47" s="6"/>
      <c r="I47" s="6"/>
      <c r="J47" s="6"/>
      <c r="K47" s="6"/>
    </row>
    <row r="48" spans="2:11" ht="15.75" thickBot="1">
      <c r="B48" s="1448"/>
      <c r="C48" s="93"/>
      <c r="D48" s="40" t="s">
        <v>41</v>
      </c>
      <c r="E48" s="577"/>
      <c r="F48" s="6"/>
      <c r="G48" s="6"/>
      <c r="H48" s="6"/>
      <c r="I48" s="6"/>
      <c r="J48" s="6"/>
      <c r="K48" s="6"/>
    </row>
    <row r="49" spans="2:11" ht="15.75" thickBot="1">
      <c r="B49" s="1448"/>
      <c r="C49" s="93"/>
      <c r="D49" s="40" t="s">
        <v>42</v>
      </c>
      <c r="E49" s="168"/>
      <c r="F49" s="6"/>
      <c r="G49" s="6"/>
      <c r="H49" s="6"/>
      <c r="I49" s="6"/>
      <c r="J49" s="6"/>
      <c r="K49" s="6"/>
    </row>
    <row r="50" spans="2:11" ht="15.75" thickBot="1">
      <c r="B50" s="1448"/>
      <c r="C50" s="93"/>
      <c r="D50" s="40" t="s">
        <v>43</v>
      </c>
      <c r="E50" s="168"/>
      <c r="F50" s="6"/>
      <c r="G50" s="6"/>
      <c r="H50" s="6"/>
      <c r="I50" s="6"/>
      <c r="J50" s="6"/>
      <c r="K50" s="6"/>
    </row>
    <row r="51" spans="2:11" ht="15.75" thickBot="1">
      <c r="B51" s="1448"/>
      <c r="C51" s="93"/>
      <c r="D51" s="40" t="s">
        <v>44</v>
      </c>
      <c r="E51" s="168"/>
      <c r="F51" s="6"/>
      <c r="G51" s="6"/>
      <c r="H51" s="6"/>
      <c r="I51" s="6"/>
      <c r="J51" s="6"/>
      <c r="K51" s="6"/>
    </row>
    <row r="52" spans="2:11" ht="15.75" thickBot="1">
      <c r="B52" s="1449"/>
      <c r="C52" s="3"/>
      <c r="D52" s="40" t="s">
        <v>45</v>
      </c>
      <c r="E52" s="168"/>
      <c r="F52" s="6"/>
      <c r="G52" s="6"/>
      <c r="H52" s="6"/>
      <c r="I52" s="6"/>
      <c r="J52" s="6"/>
      <c r="K52" s="6"/>
    </row>
    <row r="53" spans="2:11" ht="15.75" thickBot="1">
      <c r="B53" s="2"/>
      <c r="C53" s="75"/>
      <c r="D53" s="6"/>
      <c r="E53" s="6"/>
      <c r="F53" s="6"/>
      <c r="G53" s="6"/>
      <c r="H53" s="6"/>
      <c r="I53" s="6"/>
      <c r="J53" s="6"/>
      <c r="K53" s="6"/>
    </row>
    <row r="54" spans="2:11" ht="15" customHeight="1" thickBot="1">
      <c r="B54" s="123" t="s">
        <v>49</v>
      </c>
      <c r="C54" s="124"/>
      <c r="D54" s="124"/>
      <c r="E54" s="125"/>
      <c r="G54" s="6"/>
      <c r="H54" s="6"/>
      <c r="I54" s="6"/>
      <c r="J54" s="6"/>
      <c r="K54" s="6"/>
    </row>
    <row r="55" spans="2:11" ht="24.75" thickBot="1">
      <c r="B55" s="47" t="s">
        <v>50</v>
      </c>
      <c r="C55" s="40" t="s">
        <v>51</v>
      </c>
      <c r="D55" s="40" t="s">
        <v>52</v>
      </c>
      <c r="E55" s="40" t="s">
        <v>53</v>
      </c>
      <c r="F55" s="6"/>
      <c r="G55" s="6"/>
      <c r="H55" s="6"/>
      <c r="I55" s="6"/>
      <c r="J55" s="6"/>
    </row>
    <row r="56" spans="2:11" ht="60.75" thickBot="1">
      <c r="B56" s="49">
        <v>42401</v>
      </c>
      <c r="C56" s="40">
        <v>0.01</v>
      </c>
      <c r="D56" s="50" t="s">
        <v>1109</v>
      </c>
      <c r="E56" s="40"/>
      <c r="F56" s="6"/>
      <c r="G56" s="6"/>
      <c r="H56" s="6"/>
      <c r="I56" s="6"/>
      <c r="J56" s="6"/>
    </row>
    <row r="57" spans="2:11" ht="15.75" thickBot="1">
      <c r="B57" s="4"/>
      <c r="C57" s="94"/>
      <c r="D57" s="6"/>
      <c r="E57" s="6"/>
      <c r="F57" s="6"/>
      <c r="G57" s="6"/>
      <c r="H57" s="6"/>
      <c r="I57" s="6"/>
      <c r="J57" s="6"/>
      <c r="K57" s="6"/>
    </row>
    <row r="58" spans="2:11" ht="15.75" thickBot="1">
      <c r="B58" s="134" t="s">
        <v>55</v>
      </c>
      <c r="C58" s="95"/>
      <c r="D58" s="6"/>
      <c r="E58" s="6"/>
      <c r="F58" s="6"/>
      <c r="G58" s="6"/>
      <c r="H58" s="6"/>
      <c r="I58" s="6"/>
      <c r="J58" s="6"/>
      <c r="K58" s="6"/>
    </row>
    <row r="59" spans="2:11">
      <c r="B59" s="1555"/>
      <c r="C59" s="1556"/>
      <c r="D59" s="1556"/>
      <c r="E59" s="1557"/>
      <c r="F59" s="6"/>
      <c r="G59" s="6"/>
      <c r="H59" s="6"/>
      <c r="I59" s="6"/>
      <c r="J59" s="6"/>
      <c r="K59" s="6"/>
    </row>
    <row r="60" spans="2:11" ht="15.75" thickBot="1">
      <c r="B60" s="1558"/>
      <c r="C60" s="1559"/>
      <c r="D60" s="1559"/>
      <c r="E60" s="1560"/>
      <c r="F60" s="6"/>
      <c r="G60" s="6"/>
      <c r="H60" s="6"/>
      <c r="I60" s="6"/>
      <c r="J60" s="6"/>
      <c r="K60" s="6"/>
    </row>
    <row r="61" spans="2:11" ht="15.75" thickBot="1">
      <c r="B61" s="6"/>
      <c r="D61" s="6"/>
      <c r="E61" s="6"/>
      <c r="F61" s="6"/>
      <c r="G61" s="6"/>
      <c r="H61" s="6"/>
      <c r="I61" s="6"/>
      <c r="J61" s="6"/>
      <c r="K61" s="6"/>
    </row>
    <row r="62" spans="2:11" ht="24.75" thickBot="1">
      <c r="B62" s="51" t="s">
        <v>56</v>
      </c>
      <c r="C62" s="96"/>
      <c r="D62" s="6"/>
      <c r="E62" s="6"/>
      <c r="F62" s="6"/>
      <c r="G62" s="6"/>
      <c r="H62" s="6"/>
      <c r="I62" s="6"/>
      <c r="J62" s="6"/>
      <c r="K62" s="6"/>
    </row>
    <row r="63" spans="2:11" ht="15.75" thickBot="1">
      <c r="B63" s="2"/>
      <c r="C63" s="75"/>
      <c r="D63" s="6"/>
      <c r="E63" s="6"/>
      <c r="F63" s="6"/>
      <c r="G63" s="6"/>
      <c r="H63" s="6"/>
      <c r="I63" s="6"/>
      <c r="J63" s="6"/>
      <c r="K63" s="6"/>
    </row>
    <row r="64" spans="2:11" ht="60.75" thickBot="1">
      <c r="B64" s="52" t="s">
        <v>57</v>
      </c>
      <c r="C64" s="97"/>
      <c r="D64" s="43" t="s">
        <v>1064</v>
      </c>
      <c r="E64" s="6"/>
      <c r="F64" s="6"/>
      <c r="G64" s="6"/>
      <c r="H64" s="6"/>
      <c r="I64" s="6"/>
      <c r="J64" s="6"/>
      <c r="K64" s="6"/>
    </row>
    <row r="65" spans="2:11">
      <c r="B65" s="1447" t="s">
        <v>59</v>
      </c>
      <c r="C65" s="93"/>
      <c r="D65" s="53" t="s">
        <v>60</v>
      </c>
      <c r="E65" s="6"/>
      <c r="F65" s="6"/>
      <c r="G65" s="6"/>
      <c r="H65" s="6"/>
      <c r="I65" s="6"/>
      <c r="J65" s="6"/>
      <c r="K65" s="6"/>
    </row>
    <row r="66" spans="2:11" ht="48">
      <c r="B66" s="1448"/>
      <c r="C66" s="93"/>
      <c r="D66" s="46" t="s">
        <v>1065</v>
      </c>
      <c r="E66" s="6"/>
      <c r="F66" s="6"/>
      <c r="G66" s="6"/>
      <c r="H66" s="6"/>
      <c r="I66" s="6"/>
      <c r="J66" s="6"/>
      <c r="K66" s="6"/>
    </row>
    <row r="67" spans="2:11">
      <c r="B67" s="1448"/>
      <c r="C67" s="93"/>
      <c r="D67" s="53" t="s">
        <v>134</v>
      </c>
      <c r="E67" s="6"/>
      <c r="F67" s="6"/>
      <c r="G67" s="6"/>
      <c r="H67" s="6"/>
      <c r="I67" s="6"/>
      <c r="J67" s="6"/>
      <c r="K67" s="6"/>
    </row>
    <row r="68" spans="2:11">
      <c r="B68" s="1448"/>
      <c r="C68" s="93"/>
      <c r="D68" s="46" t="s">
        <v>65</v>
      </c>
      <c r="E68" s="6"/>
      <c r="F68" s="6"/>
      <c r="G68" s="6"/>
      <c r="H68" s="6"/>
      <c r="I68" s="6"/>
      <c r="J68" s="6"/>
      <c r="K68" s="6"/>
    </row>
    <row r="69" spans="2:11">
      <c r="B69" s="1448"/>
      <c r="C69" s="93"/>
      <c r="D69" s="46" t="s">
        <v>996</v>
      </c>
      <c r="E69" s="6"/>
      <c r="F69" s="6"/>
      <c r="G69" s="6"/>
      <c r="H69" s="6"/>
      <c r="I69" s="6"/>
      <c r="J69" s="6"/>
      <c r="K69" s="6"/>
    </row>
    <row r="70" spans="2:11" ht="48">
      <c r="B70" s="1448"/>
      <c r="C70" s="93"/>
      <c r="D70" s="46" t="s">
        <v>997</v>
      </c>
      <c r="E70" s="6"/>
      <c r="F70" s="6"/>
      <c r="G70" s="6"/>
      <c r="H70" s="6"/>
      <c r="I70" s="6"/>
      <c r="J70" s="6"/>
      <c r="K70" s="6"/>
    </row>
    <row r="71" spans="2:11" ht="24">
      <c r="B71" s="1448"/>
      <c r="C71" s="93"/>
      <c r="D71" s="46" t="s">
        <v>1066</v>
      </c>
      <c r="E71" s="6"/>
      <c r="F71" s="6"/>
      <c r="G71" s="6"/>
      <c r="H71" s="6"/>
      <c r="I71" s="6"/>
      <c r="J71" s="6"/>
      <c r="K71" s="6"/>
    </row>
    <row r="72" spans="2:11">
      <c r="B72" s="1448"/>
      <c r="C72" s="93"/>
      <c r="D72" s="46" t="s">
        <v>1067</v>
      </c>
      <c r="E72" s="6"/>
      <c r="F72" s="6"/>
      <c r="G72" s="6"/>
      <c r="H72" s="6"/>
      <c r="I72" s="6"/>
      <c r="J72" s="6"/>
      <c r="K72" s="6"/>
    </row>
    <row r="73" spans="2:11">
      <c r="B73" s="1448"/>
      <c r="C73" s="93"/>
      <c r="D73" s="53" t="s">
        <v>1068</v>
      </c>
      <c r="E73" s="6"/>
      <c r="F73" s="6"/>
      <c r="G73" s="6"/>
      <c r="H73" s="6"/>
      <c r="I73" s="6"/>
      <c r="J73" s="6"/>
      <c r="K73" s="6"/>
    </row>
    <row r="74" spans="2:11" ht="60">
      <c r="B74" s="1448"/>
      <c r="C74" s="93"/>
      <c r="D74" s="46" t="s">
        <v>1069</v>
      </c>
      <c r="E74" s="6"/>
      <c r="F74" s="6"/>
      <c r="G74" s="6"/>
      <c r="H74" s="6"/>
      <c r="I74" s="6"/>
      <c r="J74" s="6"/>
      <c r="K74" s="6"/>
    </row>
    <row r="75" spans="2:11">
      <c r="B75" s="1448"/>
      <c r="C75" s="93"/>
      <c r="D75" s="55" t="s">
        <v>998</v>
      </c>
      <c r="E75" s="6"/>
      <c r="F75" s="6"/>
      <c r="G75" s="6"/>
      <c r="H75" s="6"/>
      <c r="I75" s="6"/>
      <c r="J75" s="6"/>
      <c r="K75" s="6"/>
    </row>
    <row r="76" spans="2:11" ht="15.75" thickBot="1">
      <c r="B76" s="1449"/>
      <c r="C76" s="3"/>
      <c r="D76" s="56" t="s">
        <v>999</v>
      </c>
      <c r="E76" s="6"/>
      <c r="F76" s="6"/>
      <c r="G76" s="6"/>
      <c r="H76" s="6"/>
      <c r="I76" s="6"/>
      <c r="J76" s="6"/>
      <c r="K76" s="6"/>
    </row>
    <row r="77" spans="2:11" ht="24.75" thickBot="1">
      <c r="B77" s="47" t="s">
        <v>72</v>
      </c>
      <c r="C77" s="3"/>
      <c r="D77" s="40" t="s">
        <v>1070</v>
      </c>
      <c r="E77" s="6"/>
      <c r="F77" s="6"/>
      <c r="G77" s="6"/>
      <c r="H77" s="6"/>
      <c r="I77" s="6"/>
      <c r="J77" s="6"/>
      <c r="K77" s="6"/>
    </row>
    <row r="78" spans="2:11" ht="108">
      <c r="B78" s="1447" t="s">
        <v>73</v>
      </c>
      <c r="C78" s="93"/>
      <c r="D78" s="46" t="s">
        <v>1071</v>
      </c>
      <c r="E78" s="6"/>
      <c r="F78" s="6"/>
      <c r="G78" s="6"/>
      <c r="H78" s="6"/>
      <c r="I78" s="6"/>
      <c r="J78" s="6"/>
      <c r="K78" s="6"/>
    </row>
    <row r="79" spans="2:11" ht="204">
      <c r="B79" s="1448"/>
      <c r="C79" s="93"/>
      <c r="D79" s="46" t="s">
        <v>1072</v>
      </c>
      <c r="E79" s="6"/>
      <c r="F79" s="6"/>
      <c r="G79" s="6"/>
      <c r="H79" s="6"/>
      <c r="I79" s="6"/>
      <c r="J79" s="6"/>
      <c r="K79" s="6"/>
    </row>
    <row r="80" spans="2:11" ht="240">
      <c r="B80" s="1448"/>
      <c r="C80" s="93"/>
      <c r="D80" s="46" t="s">
        <v>1073</v>
      </c>
      <c r="E80" s="6"/>
      <c r="F80" s="6"/>
      <c r="G80" s="6"/>
      <c r="H80" s="6"/>
      <c r="I80" s="6"/>
      <c r="J80" s="6"/>
      <c r="K80" s="6"/>
    </row>
    <row r="81" spans="2:11" ht="84">
      <c r="B81" s="1448"/>
      <c r="C81" s="93"/>
      <c r="D81" s="46" t="s">
        <v>1074</v>
      </c>
      <c r="E81" s="6"/>
      <c r="F81" s="6"/>
      <c r="G81" s="6"/>
      <c r="H81" s="6"/>
      <c r="I81" s="6"/>
      <c r="J81" s="6"/>
      <c r="K81" s="6"/>
    </row>
    <row r="82" spans="2:11" ht="216">
      <c r="B82" s="1448"/>
      <c r="C82" s="93"/>
      <c r="D82" s="46" t="s">
        <v>1003</v>
      </c>
      <c r="E82" s="6"/>
      <c r="F82" s="6"/>
      <c r="G82" s="6"/>
      <c r="H82" s="6"/>
      <c r="I82" s="6"/>
      <c r="J82" s="6"/>
      <c r="K82" s="6"/>
    </row>
    <row r="83" spans="2:11" ht="180">
      <c r="B83" s="1448"/>
      <c r="C83" s="93"/>
      <c r="D83" s="46" t="s">
        <v>1075</v>
      </c>
      <c r="E83" s="6"/>
      <c r="F83" s="6"/>
      <c r="G83" s="6"/>
      <c r="H83" s="6"/>
      <c r="I83" s="6"/>
      <c r="J83" s="6"/>
      <c r="K83" s="6"/>
    </row>
    <row r="84" spans="2:11" ht="132.75" thickBot="1">
      <c r="B84" s="1449"/>
      <c r="C84" s="3"/>
      <c r="D84" s="40" t="s">
        <v>1076</v>
      </c>
      <c r="E84" s="6"/>
      <c r="F84" s="6"/>
      <c r="G84" s="6"/>
      <c r="H84" s="6"/>
      <c r="I84" s="6"/>
      <c r="J84" s="6"/>
      <c r="K84" s="6"/>
    </row>
    <row r="85" spans="2:11" ht="24">
      <c r="B85" s="1447" t="s">
        <v>90</v>
      </c>
      <c r="C85" s="93"/>
      <c r="D85" s="57" t="s">
        <v>1077</v>
      </c>
      <c r="E85" s="6"/>
      <c r="F85" s="6"/>
      <c r="G85" s="6"/>
      <c r="H85" s="6"/>
      <c r="I85" s="6"/>
      <c r="J85" s="6"/>
      <c r="K85" s="6"/>
    </row>
    <row r="86" spans="2:11">
      <c r="B86" s="1448"/>
      <c r="C86" s="93"/>
      <c r="D86" s="17"/>
      <c r="E86" s="6"/>
      <c r="F86" s="6"/>
      <c r="G86" s="6"/>
      <c r="H86" s="6"/>
      <c r="I86" s="6"/>
      <c r="J86" s="6"/>
      <c r="K86" s="6"/>
    </row>
    <row r="87" spans="2:11">
      <c r="B87" s="1448"/>
      <c r="C87" s="93"/>
      <c r="D87" s="46" t="s">
        <v>91</v>
      </c>
      <c r="E87" s="6"/>
      <c r="F87" s="6"/>
      <c r="G87" s="6"/>
      <c r="H87" s="6"/>
      <c r="I87" s="6"/>
      <c r="J87" s="6"/>
      <c r="K87" s="6"/>
    </row>
    <row r="88" spans="2:11" ht="37.5">
      <c r="B88" s="1448"/>
      <c r="C88" s="93"/>
      <c r="D88" s="46" t="s">
        <v>1078</v>
      </c>
      <c r="E88" s="6"/>
      <c r="F88" s="6"/>
      <c r="G88" s="6"/>
      <c r="H88" s="6"/>
      <c r="I88" s="6"/>
      <c r="J88" s="6"/>
      <c r="K88" s="6"/>
    </row>
    <row r="89" spans="2:11" ht="37.5">
      <c r="B89" s="1448"/>
      <c r="C89" s="93"/>
      <c r="D89" s="46" t="s">
        <v>1079</v>
      </c>
      <c r="E89" s="6"/>
      <c r="F89" s="6"/>
      <c r="G89" s="6"/>
      <c r="H89" s="6"/>
      <c r="I89" s="6"/>
      <c r="J89" s="6"/>
      <c r="K89" s="6"/>
    </row>
    <row r="90" spans="2:11">
      <c r="B90" s="1448"/>
      <c r="C90" s="93"/>
      <c r="D90" s="46" t="s">
        <v>1080</v>
      </c>
      <c r="E90" s="6"/>
      <c r="F90" s="6"/>
      <c r="G90" s="6"/>
      <c r="H90" s="6"/>
      <c r="I90" s="6"/>
      <c r="J90" s="6"/>
      <c r="K90" s="6"/>
    </row>
    <row r="91" spans="2:11" ht="49.5">
      <c r="B91" s="1448"/>
      <c r="C91" s="93"/>
      <c r="D91" s="46" t="s">
        <v>1081</v>
      </c>
      <c r="E91" s="6"/>
      <c r="F91" s="6"/>
      <c r="G91" s="6"/>
      <c r="H91" s="6"/>
      <c r="I91" s="6"/>
      <c r="J91" s="6"/>
      <c r="K91" s="6"/>
    </row>
    <row r="92" spans="2:11" ht="60">
      <c r="B92" s="1448"/>
      <c r="C92" s="93"/>
      <c r="D92" s="46" t="s">
        <v>1082</v>
      </c>
      <c r="E92" s="6"/>
      <c r="F92" s="6"/>
      <c r="G92" s="6"/>
      <c r="H92" s="6"/>
      <c r="I92" s="6"/>
      <c r="J92" s="6"/>
      <c r="K92" s="6"/>
    </row>
    <row r="93" spans="2:11" ht="48">
      <c r="B93" s="1448"/>
      <c r="C93" s="93"/>
      <c r="D93" s="46" t="s">
        <v>1083</v>
      </c>
      <c r="E93" s="6"/>
      <c r="F93" s="6"/>
      <c r="G93" s="6"/>
      <c r="H93" s="6"/>
      <c r="I93" s="6"/>
      <c r="J93" s="6"/>
      <c r="K93" s="6"/>
    </row>
    <row r="94" spans="2:11" ht="24">
      <c r="B94" s="1448"/>
      <c r="C94" s="93"/>
      <c r="D94" s="53" t="s">
        <v>1084</v>
      </c>
      <c r="E94" s="6"/>
      <c r="F94" s="6"/>
      <c r="G94" s="6"/>
      <c r="H94" s="6"/>
      <c r="I94" s="6"/>
      <c r="J94" s="6"/>
      <c r="K94" s="6"/>
    </row>
    <row r="95" spans="2:11">
      <c r="B95" s="1448"/>
      <c r="C95" s="93"/>
      <c r="D95" s="17"/>
      <c r="E95" s="6"/>
      <c r="F95" s="6"/>
      <c r="G95" s="6"/>
      <c r="H95" s="6"/>
      <c r="I95" s="6"/>
      <c r="J95" s="6"/>
      <c r="K95" s="6"/>
    </row>
    <row r="96" spans="2:11">
      <c r="B96" s="1448"/>
      <c r="C96" s="93"/>
      <c r="D96" s="46" t="s">
        <v>91</v>
      </c>
      <c r="E96" s="6"/>
      <c r="F96" s="6"/>
      <c r="G96" s="6"/>
      <c r="H96" s="6"/>
      <c r="I96" s="6"/>
      <c r="J96" s="6"/>
      <c r="K96" s="6"/>
    </row>
    <row r="97" spans="2:11" ht="37.5">
      <c r="B97" s="1448"/>
      <c r="C97" s="93"/>
      <c r="D97" s="46" t="s">
        <v>1085</v>
      </c>
      <c r="E97" s="6"/>
      <c r="F97" s="6"/>
      <c r="G97" s="6"/>
      <c r="H97" s="6"/>
      <c r="I97" s="6"/>
      <c r="J97" s="6"/>
      <c r="K97" s="6"/>
    </row>
    <row r="98" spans="2:11" ht="25.5">
      <c r="B98" s="1448"/>
      <c r="C98" s="93"/>
      <c r="D98" s="46" t="s">
        <v>1086</v>
      </c>
      <c r="E98" s="6"/>
      <c r="F98" s="6"/>
      <c r="G98" s="6"/>
      <c r="H98" s="6"/>
      <c r="I98" s="6"/>
      <c r="J98" s="6"/>
      <c r="K98" s="6"/>
    </row>
    <row r="99" spans="2:11" ht="37.5">
      <c r="B99" s="1448"/>
      <c r="C99" s="93"/>
      <c r="D99" s="46" t="s">
        <v>1087</v>
      </c>
      <c r="E99" s="6"/>
      <c r="F99" s="6"/>
      <c r="G99" s="6"/>
      <c r="H99" s="6"/>
      <c r="I99" s="6"/>
      <c r="J99" s="6"/>
      <c r="K99" s="6"/>
    </row>
    <row r="100" spans="2:11">
      <c r="B100" s="1448"/>
      <c r="C100" s="93"/>
      <c r="D100" s="58" t="s">
        <v>1088</v>
      </c>
      <c r="E100" s="6"/>
      <c r="F100" s="6"/>
      <c r="G100" s="6"/>
      <c r="H100" s="6"/>
      <c r="I100" s="6"/>
      <c r="J100" s="6"/>
      <c r="K100" s="6"/>
    </row>
    <row r="101" spans="2:11" ht="72">
      <c r="B101" s="1448"/>
      <c r="C101" s="93"/>
      <c r="D101" s="46" t="s">
        <v>1089</v>
      </c>
      <c r="E101" s="6"/>
      <c r="F101" s="6"/>
      <c r="G101" s="6"/>
      <c r="H101" s="6"/>
      <c r="I101" s="6"/>
      <c r="J101" s="6"/>
      <c r="K101" s="6"/>
    </row>
    <row r="102" spans="2:11" ht="36">
      <c r="B102" s="1448"/>
      <c r="C102" s="93"/>
      <c r="D102" s="53" t="s">
        <v>1090</v>
      </c>
      <c r="E102" s="6"/>
      <c r="F102" s="6"/>
      <c r="G102" s="6"/>
      <c r="H102" s="6"/>
      <c r="I102" s="6"/>
      <c r="J102" s="6"/>
      <c r="K102" s="6"/>
    </row>
    <row r="103" spans="2:11">
      <c r="B103" s="1448"/>
      <c r="C103" s="93"/>
      <c r="D103" s="17"/>
      <c r="E103" s="6"/>
      <c r="F103" s="6"/>
      <c r="G103" s="6"/>
      <c r="H103" s="6"/>
      <c r="I103" s="6"/>
      <c r="J103" s="6"/>
      <c r="K103" s="6"/>
    </row>
    <row r="104" spans="2:11">
      <c r="B104" s="1448"/>
      <c r="C104" s="93"/>
      <c r="D104" s="46" t="s">
        <v>91</v>
      </c>
      <c r="E104" s="6"/>
      <c r="F104" s="6"/>
      <c r="G104" s="6"/>
      <c r="H104" s="6"/>
      <c r="I104" s="6"/>
      <c r="J104" s="6"/>
      <c r="K104" s="6"/>
    </row>
    <row r="105" spans="2:11" ht="49.5">
      <c r="B105" s="1448"/>
      <c r="C105" s="93"/>
      <c r="D105" s="46" t="s">
        <v>1091</v>
      </c>
      <c r="E105" s="6"/>
      <c r="F105" s="6"/>
      <c r="G105" s="6"/>
      <c r="H105" s="6"/>
      <c r="I105" s="6"/>
      <c r="J105" s="6"/>
      <c r="K105" s="6"/>
    </row>
    <row r="106" spans="2:11" ht="49.5">
      <c r="B106" s="1448"/>
      <c r="C106" s="93"/>
      <c r="D106" s="46" t="s">
        <v>1092</v>
      </c>
      <c r="E106" s="6"/>
      <c r="F106" s="6"/>
      <c r="G106" s="6"/>
      <c r="H106" s="6"/>
      <c r="I106" s="6"/>
      <c r="J106" s="6"/>
      <c r="K106" s="6"/>
    </row>
    <row r="107" spans="2:11" ht="37.5">
      <c r="B107" s="1448"/>
      <c r="C107" s="93"/>
      <c r="D107" s="46" t="s">
        <v>1093</v>
      </c>
      <c r="E107" s="6"/>
      <c r="F107" s="6"/>
      <c r="G107" s="6"/>
      <c r="H107" s="6"/>
      <c r="I107" s="6"/>
      <c r="J107" s="6"/>
      <c r="K107" s="6"/>
    </row>
    <row r="108" spans="2:11" ht="15.75" thickBot="1">
      <c r="B108" s="1449"/>
      <c r="C108" s="3"/>
      <c r="D108" s="40" t="s">
        <v>1094</v>
      </c>
      <c r="E108" s="6"/>
      <c r="F108" s="6"/>
      <c r="G108" s="6"/>
      <c r="H108" s="6"/>
      <c r="I108" s="6"/>
      <c r="J108" s="6"/>
      <c r="K108" s="6"/>
    </row>
    <row r="109" spans="2:11">
      <c r="B109" s="6"/>
      <c r="D109" s="6"/>
      <c r="E109" s="6"/>
      <c r="F109" s="6"/>
      <c r="G109" s="6"/>
      <c r="H109" s="6"/>
      <c r="I109" s="6"/>
      <c r="J109" s="6"/>
      <c r="K109" s="6"/>
    </row>
    <row r="110" spans="2:11">
      <c r="B110" s="6"/>
      <c r="D110" s="6"/>
      <c r="E110" s="6"/>
      <c r="F110" s="6"/>
      <c r="G110" s="6"/>
      <c r="H110" s="6"/>
      <c r="I110" s="6"/>
      <c r="J110" s="6"/>
      <c r="K110" s="6"/>
    </row>
    <row r="111" spans="2:11">
      <c r="B111" s="6"/>
      <c r="D111" s="6"/>
      <c r="E111" s="6"/>
      <c r="F111" s="6"/>
      <c r="G111" s="6"/>
      <c r="H111" s="6"/>
      <c r="I111" s="6"/>
      <c r="J111" s="6"/>
      <c r="K111" s="6"/>
    </row>
    <row r="112" spans="2:11">
      <c r="B112" s="6"/>
      <c r="D112" s="6"/>
      <c r="E112" s="6"/>
      <c r="F112" s="6"/>
      <c r="G112" s="6"/>
      <c r="H112" s="6"/>
      <c r="I112" s="6"/>
      <c r="J112" s="6"/>
      <c r="K112" s="6"/>
    </row>
    <row r="113" spans="2:11">
      <c r="B113" s="6"/>
      <c r="D113" s="6"/>
      <c r="E113" s="6"/>
      <c r="F113" s="6"/>
      <c r="G113" s="6"/>
      <c r="H113" s="6"/>
      <c r="I113" s="6"/>
      <c r="J113" s="6"/>
      <c r="K113" s="6"/>
    </row>
    <row r="114" spans="2:11">
      <c r="B114" s="6"/>
      <c r="D114" s="6"/>
      <c r="E114" s="6"/>
      <c r="F114" s="6"/>
      <c r="G114" s="6"/>
      <c r="H114" s="6"/>
      <c r="I114" s="6"/>
      <c r="J114" s="6"/>
      <c r="K114" s="6"/>
    </row>
    <row r="115" spans="2:11">
      <c r="B115" s="6"/>
      <c r="D115" s="6"/>
      <c r="E115" s="6"/>
      <c r="F115" s="6"/>
      <c r="G115" s="6"/>
      <c r="H115" s="6"/>
      <c r="I115" s="6"/>
      <c r="J115" s="6"/>
      <c r="K115" s="6"/>
    </row>
    <row r="116" spans="2:11">
      <c r="B116" s="6"/>
      <c r="D116" s="6"/>
      <c r="E116" s="6"/>
      <c r="F116" s="6"/>
      <c r="G116" s="6"/>
      <c r="H116" s="6"/>
      <c r="I116" s="6"/>
      <c r="J116" s="6"/>
      <c r="K116" s="6"/>
    </row>
    <row r="117" spans="2:11">
      <c r="B117" s="6"/>
      <c r="D117" s="6"/>
      <c r="E117" s="6"/>
      <c r="F117" s="6"/>
      <c r="G117" s="6"/>
      <c r="H117" s="6"/>
      <c r="I117" s="6"/>
      <c r="J117" s="6"/>
      <c r="K117" s="6"/>
    </row>
    <row r="118" spans="2:11">
      <c r="B118" s="6"/>
      <c r="D118" s="6"/>
      <c r="E118" s="6"/>
      <c r="F118" s="6"/>
      <c r="G118" s="6"/>
      <c r="H118" s="6"/>
      <c r="I118" s="6"/>
      <c r="J118" s="6"/>
      <c r="K118" s="6"/>
    </row>
    <row r="119" spans="2:11">
      <c r="B119" s="6"/>
      <c r="D119" s="6"/>
      <c r="E119" s="6"/>
      <c r="F119" s="6"/>
      <c r="G119" s="6"/>
      <c r="H119" s="6"/>
      <c r="I119" s="6"/>
      <c r="J119" s="6"/>
      <c r="K119" s="6"/>
    </row>
    <row r="120" spans="2:11">
      <c r="B120" s="6"/>
      <c r="D120" s="6"/>
      <c r="E120" s="6"/>
      <c r="F120" s="6"/>
      <c r="G120" s="6"/>
      <c r="H120" s="6"/>
      <c r="I120" s="6"/>
      <c r="J120" s="6"/>
      <c r="K120" s="6"/>
    </row>
    <row r="121" spans="2:11">
      <c r="B121" s="6"/>
      <c r="D121" s="6"/>
      <c r="E121" s="6"/>
      <c r="F121" s="6"/>
      <c r="G121" s="6"/>
      <c r="H121" s="6"/>
      <c r="I121" s="6"/>
      <c r="J121" s="6"/>
      <c r="K121" s="6"/>
    </row>
    <row r="122" spans="2:11">
      <c r="B122" s="6"/>
      <c r="D122" s="6"/>
      <c r="E122" s="6"/>
      <c r="F122" s="6"/>
      <c r="G122" s="6"/>
      <c r="H122" s="6"/>
      <c r="I122" s="6"/>
      <c r="J122" s="6"/>
      <c r="K122" s="6"/>
    </row>
    <row r="123" spans="2:11">
      <c r="B123" s="6"/>
      <c r="D123" s="6"/>
      <c r="E123" s="6"/>
      <c r="F123" s="6"/>
      <c r="G123" s="6"/>
      <c r="H123" s="6"/>
      <c r="I123" s="6"/>
      <c r="J123" s="6"/>
      <c r="K123" s="6"/>
    </row>
    <row r="124" spans="2:11">
      <c r="B124" s="6"/>
      <c r="D124" s="6"/>
      <c r="E124" s="6"/>
      <c r="F124" s="6"/>
      <c r="G124" s="6"/>
      <c r="H124" s="6"/>
      <c r="I124" s="6"/>
      <c r="J124" s="6"/>
      <c r="K124" s="6"/>
    </row>
    <row r="125" spans="2:11">
      <c r="B125" s="6"/>
      <c r="D125" s="6"/>
      <c r="E125" s="6"/>
      <c r="F125" s="6"/>
      <c r="G125" s="6"/>
      <c r="H125" s="6"/>
      <c r="I125" s="6"/>
      <c r="J125" s="6"/>
      <c r="K125" s="6"/>
    </row>
    <row r="126" spans="2:11">
      <c r="B126" s="6"/>
      <c r="D126" s="6"/>
      <c r="E126" s="6"/>
      <c r="F126" s="6"/>
      <c r="G126" s="6"/>
      <c r="H126" s="6"/>
      <c r="I126" s="6"/>
      <c r="J126" s="6"/>
      <c r="K126" s="6"/>
    </row>
    <row r="127" spans="2:11">
      <c r="B127" s="6"/>
      <c r="D127" s="6"/>
      <c r="E127" s="6"/>
      <c r="F127" s="6"/>
      <c r="G127" s="6"/>
      <c r="H127" s="6"/>
      <c r="I127" s="6"/>
      <c r="J127" s="6"/>
      <c r="K127" s="6"/>
    </row>
    <row r="128" spans="2:11">
      <c r="B128" s="6"/>
      <c r="D128" s="6"/>
      <c r="E128" s="6"/>
      <c r="F128" s="6"/>
      <c r="G128" s="6"/>
      <c r="H128" s="6"/>
      <c r="I128" s="6"/>
      <c r="J128" s="6"/>
      <c r="K128" s="6"/>
    </row>
    <row r="129" spans="2:11">
      <c r="B129" s="6"/>
      <c r="D129" s="6"/>
      <c r="E129" s="6"/>
      <c r="F129" s="6"/>
      <c r="G129" s="6"/>
      <c r="H129" s="6"/>
      <c r="I129" s="6"/>
      <c r="J129" s="6"/>
      <c r="K129" s="6"/>
    </row>
    <row r="130" spans="2:11">
      <c r="B130" s="6"/>
      <c r="D130" s="6"/>
      <c r="E130" s="6"/>
      <c r="F130" s="6"/>
      <c r="G130" s="6"/>
      <c r="H130" s="6"/>
      <c r="I130" s="6"/>
      <c r="J130" s="6"/>
      <c r="K130" s="6"/>
    </row>
    <row r="131" spans="2:11">
      <c r="B131" s="6"/>
      <c r="D131" s="6"/>
      <c r="E131" s="6"/>
      <c r="F131" s="6"/>
      <c r="G131" s="6"/>
      <c r="H131" s="6"/>
      <c r="I131" s="6"/>
      <c r="J131" s="6"/>
      <c r="K131" s="6"/>
    </row>
    <row r="132" spans="2:11">
      <c r="B132" s="6"/>
      <c r="D132" s="6"/>
      <c r="E132" s="6"/>
      <c r="F132" s="6"/>
      <c r="G132" s="6"/>
      <c r="H132" s="6"/>
      <c r="I132" s="6"/>
      <c r="J132" s="6"/>
      <c r="K132" s="6"/>
    </row>
    <row r="133" spans="2:11">
      <c r="B133" s="6"/>
      <c r="D133" s="6"/>
      <c r="E133" s="6"/>
      <c r="F133" s="6"/>
      <c r="G133" s="6"/>
      <c r="H133" s="6"/>
      <c r="I133" s="6"/>
      <c r="J133" s="6"/>
      <c r="K133" s="6"/>
    </row>
    <row r="134" spans="2:11">
      <c r="B134" s="6"/>
      <c r="D134" s="6"/>
      <c r="E134" s="6"/>
      <c r="F134" s="6"/>
      <c r="G134" s="6"/>
      <c r="H134" s="6"/>
      <c r="I134" s="6"/>
      <c r="J134" s="6"/>
      <c r="K134" s="6"/>
    </row>
    <row r="135" spans="2:11">
      <c r="B135" s="6"/>
      <c r="D135" s="6"/>
      <c r="E135" s="6"/>
      <c r="F135" s="6"/>
      <c r="G135" s="6"/>
      <c r="H135" s="6"/>
      <c r="I135" s="6"/>
      <c r="J135" s="6"/>
      <c r="K135" s="6"/>
    </row>
    <row r="136" spans="2:11">
      <c r="B136" s="6"/>
      <c r="D136" s="6"/>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row r="180" spans="2:11">
      <c r="B180" s="6"/>
      <c r="D180" s="6"/>
      <c r="E180" s="6"/>
      <c r="F180" s="6"/>
      <c r="G180" s="6"/>
      <c r="H180" s="6"/>
      <c r="I180" s="6"/>
      <c r="J180" s="6"/>
      <c r="K180" s="6"/>
    </row>
    <row r="181" spans="2:11">
      <c r="B181" s="6"/>
      <c r="D181" s="6"/>
      <c r="E181" s="6"/>
      <c r="F181" s="6"/>
      <c r="G181" s="6"/>
      <c r="H181" s="6"/>
      <c r="I181" s="6"/>
      <c r="J181" s="6"/>
      <c r="K181" s="6"/>
    </row>
    <row r="182" spans="2:11">
      <c r="B182" s="6"/>
      <c r="D182" s="6"/>
      <c r="E182" s="6"/>
      <c r="F182" s="6"/>
      <c r="G182" s="6"/>
      <c r="H182" s="6"/>
      <c r="I182" s="6"/>
      <c r="J182" s="6"/>
      <c r="K182" s="6"/>
    </row>
    <row r="183" spans="2:11">
      <c r="B183" s="6"/>
      <c r="D183" s="6"/>
      <c r="E183" s="6"/>
      <c r="F183" s="6"/>
      <c r="G183" s="6"/>
      <c r="H183" s="6"/>
      <c r="I183" s="6"/>
      <c r="J183" s="6"/>
      <c r="K183" s="6"/>
    </row>
  </sheetData>
  <mergeCells count="26">
    <mergeCell ref="B78:B84"/>
    <mergeCell ref="B85:B108"/>
    <mergeCell ref="B15:B28"/>
    <mergeCell ref="D15:H15"/>
    <mergeCell ref="D16:H16"/>
    <mergeCell ref="D17:H17"/>
    <mergeCell ref="B45:E45"/>
    <mergeCell ref="B46:B52"/>
    <mergeCell ref="D22:H22"/>
    <mergeCell ref="D23:H23"/>
    <mergeCell ref="D33:H33"/>
    <mergeCell ref="B59:E60"/>
    <mergeCell ref="D34:H34"/>
    <mergeCell ref="B36:E36"/>
    <mergeCell ref="B37:B43"/>
    <mergeCell ref="B65:B76"/>
    <mergeCell ref="B10:D10"/>
    <mergeCell ref="F10:R10"/>
    <mergeCell ref="F11:R11"/>
    <mergeCell ref="E12:R12"/>
    <mergeCell ref="E13:R13"/>
    <mergeCell ref="A1:P1"/>
    <mergeCell ref="A2:P2"/>
    <mergeCell ref="A3:P3"/>
    <mergeCell ref="A4:D4"/>
    <mergeCell ref="A5:P5"/>
  </mergeCells>
  <conditionalFormatting sqref="F11:R11">
    <cfRule type="expression" dxfId="22" priority="4">
      <formula>E11="NO SE REPORTA"</formula>
    </cfRule>
    <cfRule type="expression" dxfId="21" priority="5">
      <formula>E10="NO APLICA"</formula>
    </cfRule>
  </conditionalFormatting>
  <conditionalFormatting sqref="E12:R12">
    <cfRule type="expression" dxfId="20" priority="3">
      <formula>E11="SI SE REPORTA"</formula>
    </cfRule>
  </conditionalFormatting>
  <conditionalFormatting sqref="F10:R10">
    <cfRule type="expression" dxfId="19" priority="1">
      <formula>E10="NO SE REPORTA"</formula>
    </cfRule>
    <cfRule type="expression" dxfId="18" priority="2">
      <formula>E9="NO APLICA"</formula>
    </cfRule>
  </conditionalFormatting>
  <dataValidations count="4">
    <dataValidation type="whole" operator="greaterThanOrEqual" allowBlank="1" showErrorMessage="1" errorTitle="ERROR" error="Escriba un número igual o mayor que 0" promptTitle="ERROR" prompt="Escriba un número igual o mayor que 0" sqref="E25:F26 E19:G20">
      <formula1>0</formula1>
    </dataValidation>
    <dataValidation allowBlank="1" showInputMessage="1" showErrorMessage="1" promptTitle="OJO" prompt="NO TOCAR" sqref="E21:G21 E27:F27"/>
    <dataValidation type="list" allowBlank="1" showInputMessage="1" showErrorMessage="1" sqref="E11">
      <formula1>REPORTE</formula1>
    </dataValidation>
    <dataValidation type="list" allowBlank="1" showInputMessage="1" showErrorMessage="1" sqref="E10">
      <formula1>SI</formula1>
    </dataValidation>
  </dataValidations>
  <hyperlinks>
    <hyperlink ref="D75" r:id="rId1" display="http://www.sisaire.gov.co/"/>
    <hyperlink ref="D76" r:id="rId2" display="http://www.sirh.ideam.gov.co/"/>
    <hyperlink ref="B9" location="'ANEXO 3'!A1" display="VOLVER AL INDICE"/>
  </hyperlinks>
  <pageMargins left="0.25" right="0.25" top="0.75" bottom="0.75" header="0.3" footer="0.3"/>
  <pageSetup paperSize="178" orientation="landscape" horizontalDpi="1200" verticalDpi="1200" r:id="rId3"/>
  <drawing r:id="rId4"/>
  <legacyDrawing r:id="rId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124"/>
  <sheetViews>
    <sheetView showGridLines="0" tabSelected="1" topLeftCell="A13" zoomScale="98" zoomScaleNormal="98" workbookViewId="0">
      <selection activeCell="I25" sqref="I25"/>
    </sheetView>
  </sheetViews>
  <sheetFormatPr baseColWidth="10" defaultRowHeight="15"/>
  <cols>
    <col min="1" max="1" width="1.85546875" customWidth="1"/>
    <col min="2" max="2" width="11.140625" customWidth="1"/>
    <col min="3" max="3" width="5" style="86" bestFit="1" customWidth="1"/>
    <col min="4" max="4" width="34.85546875" customWidth="1"/>
    <col min="5" max="5" width="15" customWidth="1"/>
  </cols>
  <sheetData>
    <row r="1" spans="1:21" s="490" customFormat="1" ht="100.5" customHeight="1" thickBot="1">
      <c r="A1" s="1334"/>
      <c r="B1" s="1335"/>
      <c r="C1" s="1335"/>
      <c r="D1" s="1335"/>
      <c r="E1" s="1335"/>
      <c r="F1" s="1335"/>
      <c r="G1" s="1335"/>
      <c r="H1" s="1335"/>
      <c r="I1" s="1335"/>
      <c r="J1" s="1335"/>
      <c r="K1" s="1335"/>
      <c r="L1" s="1335"/>
      <c r="M1" s="1335"/>
      <c r="N1" s="1335"/>
      <c r="O1" s="1335"/>
      <c r="P1" s="1336"/>
      <c r="Q1" s="389"/>
      <c r="R1" s="389"/>
    </row>
    <row r="2" spans="1:21" s="491" customFormat="1" ht="16.5" thickBot="1">
      <c r="A2" s="1342" t="str">
        <f>'Datos Generales'!C5</f>
        <v>Corporación Autónoma Regional del Cesar – CORPOCESAR</v>
      </c>
      <c r="B2" s="1343"/>
      <c r="C2" s="1343"/>
      <c r="D2" s="1343"/>
      <c r="E2" s="1343"/>
      <c r="F2" s="1343"/>
      <c r="G2" s="1343"/>
      <c r="H2" s="1343"/>
      <c r="I2" s="1343"/>
      <c r="J2" s="1343"/>
      <c r="K2" s="1343"/>
      <c r="L2" s="1343"/>
      <c r="M2" s="1343"/>
      <c r="N2" s="1343"/>
      <c r="O2" s="1343"/>
      <c r="P2" s="1344"/>
      <c r="Q2" s="389"/>
      <c r="R2" s="389"/>
    </row>
    <row r="3" spans="1:21" s="491" customFormat="1" ht="16.5" thickBot="1">
      <c r="A3" s="1337" t="s">
        <v>1294</v>
      </c>
      <c r="B3" s="1338"/>
      <c r="C3" s="1338"/>
      <c r="D3" s="1338"/>
      <c r="E3" s="1338"/>
      <c r="F3" s="1338"/>
      <c r="G3" s="1338"/>
      <c r="H3" s="1338"/>
      <c r="I3" s="1338"/>
      <c r="J3" s="1338"/>
      <c r="K3" s="1338"/>
      <c r="L3" s="1338"/>
      <c r="M3" s="1338"/>
      <c r="N3" s="1338"/>
      <c r="O3" s="1338"/>
      <c r="P3" s="1339"/>
      <c r="Q3" s="389"/>
      <c r="R3" s="389"/>
    </row>
    <row r="4" spans="1:21" s="491" customFormat="1" ht="16.5" thickBot="1">
      <c r="A4" s="1340" t="s">
        <v>1293</v>
      </c>
      <c r="B4" s="1341"/>
      <c r="C4" s="1341"/>
      <c r="D4" s="1341"/>
      <c r="E4" s="498">
        <v>2022</v>
      </c>
      <c r="F4" s="498"/>
      <c r="G4" s="498"/>
      <c r="H4" s="498"/>
      <c r="I4" s="498"/>
      <c r="J4" s="498"/>
      <c r="K4" s="498"/>
      <c r="L4" s="499"/>
      <c r="M4" s="499"/>
      <c r="N4" s="499"/>
      <c r="O4" s="499"/>
      <c r="P4" s="500"/>
      <c r="Q4" s="389"/>
      <c r="R4" s="389"/>
    </row>
    <row r="5" spans="1:21" s="235" customFormat="1" ht="16.5" customHeight="1" thickBot="1">
      <c r="A5" s="1337" t="s">
        <v>1110</v>
      </c>
      <c r="B5" s="1338"/>
      <c r="C5" s="1338"/>
      <c r="D5" s="1338"/>
      <c r="E5" s="1338"/>
      <c r="F5" s="1338"/>
      <c r="G5" s="1338"/>
      <c r="H5" s="1338"/>
      <c r="I5" s="1338"/>
      <c r="J5" s="1338"/>
      <c r="K5" s="1338"/>
      <c r="L5" s="1338"/>
      <c r="M5" s="1338"/>
      <c r="N5" s="1338"/>
      <c r="O5" s="1338"/>
      <c r="P5" s="1339"/>
    </row>
    <row r="6" spans="1:21">
      <c r="A6" s="235"/>
      <c r="B6" s="239" t="s">
        <v>1</v>
      </c>
      <c r="C6" s="240"/>
      <c r="D6" s="238"/>
      <c r="E6" s="248"/>
      <c r="F6" s="238" t="s">
        <v>128</v>
      </c>
      <c r="G6" s="238"/>
      <c r="H6" s="238"/>
      <c r="I6" s="238"/>
      <c r="J6" s="238"/>
      <c r="K6" s="238"/>
      <c r="L6" s="235"/>
      <c r="M6" s="235"/>
      <c r="N6" s="235"/>
      <c r="O6" s="235"/>
      <c r="P6" s="235"/>
      <c r="Q6" s="235"/>
      <c r="R6" s="235"/>
      <c r="S6" s="235"/>
    </row>
    <row r="7" spans="1:21" ht="15.75" thickBot="1">
      <c r="A7" s="235"/>
      <c r="B7" s="241"/>
      <c r="C7" s="242"/>
      <c r="D7" s="238"/>
      <c r="E7" s="243"/>
      <c r="F7" s="238" t="s">
        <v>129</v>
      </c>
      <c r="G7" s="238"/>
      <c r="H7" s="238"/>
      <c r="I7" s="238"/>
      <c r="J7" s="238"/>
      <c r="K7" s="238"/>
      <c r="L7" s="235"/>
      <c r="M7" s="235"/>
      <c r="N7" s="235"/>
      <c r="O7" s="235"/>
      <c r="P7" s="235"/>
      <c r="Q7" s="235"/>
      <c r="R7" s="235"/>
      <c r="S7" s="235"/>
    </row>
    <row r="8" spans="1:21" ht="15.75" thickBot="1">
      <c r="A8" s="235"/>
      <c r="B8" s="245" t="s">
        <v>1181</v>
      </c>
      <c r="C8" s="251">
        <v>2022</v>
      </c>
      <c r="D8" s="246">
        <f>E42</f>
        <v>0.98799999999999988</v>
      </c>
      <c r="E8" s="253"/>
      <c r="F8" s="238" t="s">
        <v>130</v>
      </c>
      <c r="G8" s="238"/>
      <c r="H8" s="238"/>
      <c r="I8" s="238"/>
      <c r="J8" s="238"/>
      <c r="K8" s="238"/>
      <c r="L8" s="235"/>
      <c r="M8" s="235"/>
      <c r="N8" s="235"/>
      <c r="O8" s="235"/>
      <c r="P8" s="235"/>
      <c r="Q8" s="235"/>
      <c r="R8" s="235"/>
      <c r="S8" s="235"/>
    </row>
    <row r="9" spans="1:21">
      <c r="A9" s="235"/>
      <c r="B9" s="476" t="s">
        <v>1182</v>
      </c>
      <c r="C9" s="292"/>
      <c r="D9" s="238"/>
      <c r="E9" s="238"/>
      <c r="F9" s="238"/>
      <c r="G9" s="238"/>
      <c r="H9" s="238"/>
      <c r="I9" s="238"/>
      <c r="J9" s="238"/>
      <c r="K9" s="238"/>
      <c r="L9" s="235"/>
      <c r="M9" s="235"/>
      <c r="N9" s="235"/>
      <c r="O9" s="235"/>
      <c r="P9" s="235"/>
      <c r="Q9" s="235"/>
      <c r="R9" s="235"/>
      <c r="S9" s="235"/>
    </row>
    <row r="10" spans="1:21" s="389" customFormat="1">
      <c r="A10" s="235"/>
      <c r="B10" s="1392" t="s">
        <v>1236</v>
      </c>
      <c r="C10" s="1392"/>
      <c r="D10" s="1392"/>
      <c r="E10" s="468" t="s">
        <v>1233</v>
      </c>
      <c r="F10" s="1412" t="str">
        <f>'20Negoc'!F10</f>
        <v>Acuerdo 005 del 22 de mayo de 2020 (Por medio del cual se aprueba el Plan de Accion Institucional 2020 -2023)</v>
      </c>
      <c r="G10" s="1412"/>
      <c r="H10" s="1412"/>
      <c r="I10" s="1412"/>
      <c r="J10" s="1412"/>
      <c r="K10" s="1412"/>
      <c r="L10" s="1412"/>
      <c r="M10" s="1412"/>
      <c r="N10" s="1412"/>
      <c r="O10" s="1412"/>
      <c r="P10" s="1412"/>
      <c r="Q10" s="1412"/>
      <c r="R10" s="1412"/>
      <c r="S10" s="1412"/>
      <c r="T10" s="464"/>
      <c r="U10" s="464"/>
    </row>
    <row r="11" spans="1:21" s="389" customFormat="1" ht="14.45" customHeight="1">
      <c r="A11" s="235"/>
      <c r="B11" s="477"/>
      <c r="C11" s="466"/>
      <c r="D11" s="467" t="str">
        <f>IF(E10="SI APLICA","¿El indicador no se reporta por limitaciones de información disponible? ","")</f>
        <v xml:space="preserve">¿El indicador no se reporta por limitaciones de información disponible? </v>
      </c>
      <c r="E11" s="469" t="s">
        <v>1235</v>
      </c>
      <c r="F11" s="1412"/>
      <c r="G11" s="1412"/>
      <c r="H11" s="1412"/>
      <c r="I11" s="1412"/>
      <c r="J11" s="1412"/>
      <c r="K11" s="1412"/>
      <c r="L11" s="1412"/>
      <c r="M11" s="1412"/>
      <c r="N11" s="1412"/>
      <c r="O11" s="1412"/>
      <c r="P11" s="1412"/>
      <c r="Q11" s="1412"/>
      <c r="R11" s="1412"/>
      <c r="S11" s="1412"/>
    </row>
    <row r="12" spans="1:21" s="389" customFormat="1" ht="23.45" customHeight="1">
      <c r="A12" s="235"/>
      <c r="B12" s="476"/>
      <c r="C12" s="292"/>
      <c r="D12" s="467" t="str">
        <f>IF(E11="SI SE REPORTA","¿Qué programas o proyectos del Plan de Acción están asociados al indicador? ","")</f>
        <v xml:space="preserve">¿Qué programas o proyectos del Plan de Acción están asociados al indicador? </v>
      </c>
      <c r="E12" s="1430" t="s">
        <v>2122</v>
      </c>
      <c r="F12" s="1430"/>
      <c r="G12" s="1430"/>
      <c r="H12" s="1430"/>
      <c r="I12" s="1430"/>
      <c r="J12" s="1430"/>
      <c r="K12" s="1430"/>
      <c r="L12" s="1430"/>
      <c r="M12" s="1430"/>
      <c r="N12" s="1430"/>
      <c r="O12" s="1430"/>
      <c r="P12" s="1430"/>
      <c r="Q12" s="1430"/>
      <c r="R12" s="1430"/>
      <c r="S12" s="235"/>
    </row>
    <row r="13" spans="1:21" s="389" customFormat="1" ht="21.95" customHeight="1">
      <c r="A13" s="235"/>
      <c r="B13" s="476"/>
      <c r="C13" s="292"/>
      <c r="D13" s="467" t="s">
        <v>1238</v>
      </c>
      <c r="E13" s="1395"/>
      <c r="F13" s="1396"/>
      <c r="G13" s="1396"/>
      <c r="H13" s="1396"/>
      <c r="I13" s="1396"/>
      <c r="J13" s="1396"/>
      <c r="K13" s="1396"/>
      <c r="L13" s="1396"/>
      <c r="M13" s="1396"/>
      <c r="N13" s="1396"/>
      <c r="O13" s="1396"/>
      <c r="P13" s="1396"/>
      <c r="Q13" s="1396"/>
      <c r="R13" s="1397"/>
      <c r="S13" s="235"/>
    </row>
    <row r="14" spans="1:21" s="389" customFormat="1" ht="6.95" customHeight="1" thickBot="1">
      <c r="A14" s="235"/>
      <c r="B14" s="476"/>
      <c r="C14" s="292"/>
      <c r="D14" s="238"/>
      <c r="E14" s="238"/>
      <c r="F14" s="238"/>
      <c r="G14" s="238"/>
      <c r="H14" s="238"/>
      <c r="I14" s="238"/>
      <c r="J14" s="238"/>
      <c r="K14" s="238"/>
      <c r="L14" s="235"/>
      <c r="M14" s="235"/>
      <c r="N14" s="235"/>
      <c r="O14" s="235"/>
      <c r="P14" s="235"/>
      <c r="Q14" s="235"/>
      <c r="R14" s="235"/>
      <c r="S14" s="235"/>
    </row>
    <row r="15" spans="1:21" ht="15.75" thickBot="1">
      <c r="A15" s="235"/>
      <c r="B15" s="1369" t="s">
        <v>2</v>
      </c>
      <c r="C15" s="257"/>
      <c r="D15" s="1351" t="s">
        <v>336</v>
      </c>
      <c r="E15" s="1352"/>
      <c r="F15" s="1352"/>
      <c r="G15" s="1352"/>
      <c r="H15" s="1352"/>
      <c r="I15" s="1352"/>
      <c r="J15" s="1352"/>
      <c r="K15" s="1353"/>
      <c r="L15" s="192"/>
      <c r="M15" s="192"/>
      <c r="N15" s="192"/>
      <c r="O15" s="192"/>
      <c r="P15" s="192"/>
      <c r="Q15" s="192"/>
      <c r="R15" s="192"/>
      <c r="S15" s="235"/>
    </row>
    <row r="16" spans="1:21" ht="15.75" thickBot="1">
      <c r="A16" s="235"/>
      <c r="B16" s="1370"/>
      <c r="C16" s="305" t="s">
        <v>19</v>
      </c>
      <c r="D16" s="269" t="s">
        <v>253</v>
      </c>
      <c r="E16" s="269" t="s">
        <v>20</v>
      </c>
      <c r="F16" s="269" t="s">
        <v>21</v>
      </c>
      <c r="G16" s="269" t="s">
        <v>22</v>
      </c>
      <c r="H16" s="269" t="s">
        <v>23</v>
      </c>
      <c r="I16" s="269" t="s">
        <v>254</v>
      </c>
      <c r="J16" s="235"/>
      <c r="K16" s="263"/>
      <c r="L16" s="192"/>
      <c r="M16" s="192"/>
      <c r="N16" s="192"/>
      <c r="O16" s="192"/>
      <c r="P16" s="192"/>
      <c r="Q16" s="192"/>
      <c r="R16" s="192"/>
      <c r="S16" s="235"/>
    </row>
    <row r="17" spans="1:19" ht="24.75" thickBot="1">
      <c r="A17" s="235"/>
      <c r="B17" s="1370"/>
      <c r="C17" s="478" t="s">
        <v>152</v>
      </c>
      <c r="D17" s="473" t="s">
        <v>1138</v>
      </c>
      <c r="E17" s="7">
        <v>3</v>
      </c>
      <c r="F17" s="7">
        <v>3</v>
      </c>
      <c r="G17" s="7">
        <v>3</v>
      </c>
      <c r="H17" s="7"/>
      <c r="I17" s="272">
        <f>SUM(E17:H17)</f>
        <v>9</v>
      </c>
      <c r="J17" s="235"/>
      <c r="K17" s="263"/>
      <c r="L17" s="192"/>
      <c r="M17" s="192"/>
      <c r="N17" s="192"/>
      <c r="O17" s="192"/>
      <c r="P17" s="192"/>
      <c r="Q17" s="192"/>
      <c r="R17" s="192"/>
      <c r="S17" s="235"/>
    </row>
    <row r="18" spans="1:19" ht="15.75" thickBot="1">
      <c r="A18" s="235"/>
      <c r="B18" s="1370"/>
      <c r="C18" s="478" t="s">
        <v>154</v>
      </c>
      <c r="D18" s="473" t="s">
        <v>767</v>
      </c>
      <c r="E18" s="190">
        <v>486085000</v>
      </c>
      <c r="F18" s="190">
        <v>744000000</v>
      </c>
      <c r="G18" s="190">
        <v>600000000</v>
      </c>
      <c r="H18" s="190"/>
      <c r="I18" s="363">
        <f>SUM(E18:H18)</f>
        <v>1830085000</v>
      </c>
      <c r="J18" s="235"/>
      <c r="K18" s="263"/>
      <c r="L18" s="192"/>
      <c r="M18" s="192"/>
      <c r="N18" s="192"/>
      <c r="O18" s="192"/>
      <c r="P18" s="192"/>
      <c r="Q18" s="192"/>
      <c r="R18" s="192"/>
      <c r="S18" s="235"/>
    </row>
    <row r="19" spans="1:19" ht="15.75" thickBot="1">
      <c r="A19" s="235"/>
      <c r="B19" s="1370"/>
      <c r="C19" s="478" t="s">
        <v>156</v>
      </c>
      <c r="D19" s="473" t="s">
        <v>824</v>
      </c>
      <c r="E19" s="190">
        <v>486085000</v>
      </c>
      <c r="F19" s="190">
        <v>744000000</v>
      </c>
      <c r="G19" s="190">
        <v>600000000</v>
      </c>
      <c r="H19" s="190"/>
      <c r="I19" s="363">
        <f>SUM(E19:H19)</f>
        <v>1830085000</v>
      </c>
      <c r="J19" s="235"/>
      <c r="K19" s="263"/>
      <c r="L19" s="192"/>
      <c r="M19" s="192"/>
      <c r="N19" s="192"/>
      <c r="O19" s="192"/>
      <c r="P19" s="192"/>
      <c r="Q19" s="192"/>
      <c r="R19" s="192"/>
      <c r="S19" s="235"/>
    </row>
    <row r="20" spans="1:19">
      <c r="A20" s="235"/>
      <c r="B20" s="1370"/>
      <c r="C20" s="265"/>
      <c r="D20" s="1357"/>
      <c r="E20" s="1402"/>
      <c r="F20" s="1402"/>
      <c r="G20" s="1402"/>
      <c r="H20" s="1402"/>
      <c r="I20" s="1402"/>
      <c r="J20" s="1402"/>
      <c r="K20" s="1359"/>
      <c r="L20" s="192"/>
      <c r="M20" s="192"/>
      <c r="N20" s="192"/>
      <c r="O20" s="192"/>
      <c r="P20" s="192"/>
      <c r="Q20" s="192"/>
      <c r="R20" s="192"/>
      <c r="S20" s="235"/>
    </row>
    <row r="21" spans="1:19" ht="15.75" thickBot="1">
      <c r="A21" s="235"/>
      <c r="B21" s="1370"/>
      <c r="C21" s="265"/>
      <c r="D21" s="1381" t="s">
        <v>1139</v>
      </c>
      <c r="E21" s="1382"/>
      <c r="F21" s="1382"/>
      <c r="G21" s="1382"/>
      <c r="H21" s="1382"/>
      <c r="I21" s="1382"/>
      <c r="J21" s="1382"/>
      <c r="K21" s="1383"/>
      <c r="L21" s="192"/>
      <c r="M21" s="192"/>
      <c r="N21" s="192"/>
      <c r="O21" s="192"/>
      <c r="P21" s="192"/>
      <c r="Q21" s="192"/>
      <c r="R21" s="192"/>
      <c r="S21" s="235"/>
    </row>
    <row r="22" spans="1:19" ht="15.75" thickBot="1">
      <c r="A22" s="235"/>
      <c r="B22" s="1370"/>
      <c r="C22" s="1470" t="s">
        <v>19</v>
      </c>
      <c r="D22" s="1369" t="s">
        <v>270</v>
      </c>
      <c r="E22" s="1378" t="s">
        <v>620</v>
      </c>
      <c r="F22" s="1380"/>
      <c r="G22" s="1378" t="s">
        <v>692</v>
      </c>
      <c r="H22" s="1379"/>
      <c r="I22" s="1379"/>
      <c r="J22" s="1380"/>
      <c r="K22" s="270"/>
      <c r="L22" s="192"/>
      <c r="M22" s="192"/>
      <c r="N22" s="192"/>
      <c r="O22" s="192"/>
      <c r="P22" s="192"/>
      <c r="Q22" s="192"/>
      <c r="R22" s="192"/>
      <c r="S22" s="235"/>
    </row>
    <row r="23" spans="1:19" ht="24.75" thickBot="1">
      <c r="A23" s="235"/>
      <c r="B23" s="1370"/>
      <c r="C23" s="1471"/>
      <c r="D23" s="1371"/>
      <c r="E23" s="473" t="s">
        <v>621</v>
      </c>
      <c r="F23" s="472" t="s">
        <v>622</v>
      </c>
      <c r="G23" s="473" t="s">
        <v>767</v>
      </c>
      <c r="H23" s="473" t="s">
        <v>344</v>
      </c>
      <c r="I23" s="473" t="s">
        <v>274</v>
      </c>
      <c r="J23" s="473" t="s">
        <v>275</v>
      </c>
      <c r="K23" s="473" t="s">
        <v>55</v>
      </c>
      <c r="L23" s="192"/>
      <c r="M23" s="192"/>
      <c r="N23" s="192"/>
      <c r="O23" s="192"/>
      <c r="P23" s="192"/>
      <c r="Q23" s="192"/>
      <c r="R23" s="192"/>
      <c r="S23" s="235"/>
    </row>
    <row r="24" spans="1:19" ht="72.75" thickBot="1">
      <c r="A24" s="235"/>
      <c r="B24" s="1370"/>
      <c r="C24" s="478">
        <v>1</v>
      </c>
      <c r="D24" s="447" t="s">
        <v>1462</v>
      </c>
      <c r="E24" s="32">
        <v>1</v>
      </c>
      <c r="F24" s="32">
        <v>0.96</v>
      </c>
      <c r="G24" s="190">
        <v>200000000</v>
      </c>
      <c r="H24" s="190">
        <v>200000000</v>
      </c>
      <c r="I24" s="190">
        <v>193812597</v>
      </c>
      <c r="J24" s="190">
        <v>103462603</v>
      </c>
      <c r="K24" s="190"/>
      <c r="L24" s="192"/>
      <c r="M24" s="192"/>
      <c r="N24" s="192"/>
      <c r="O24" s="192"/>
      <c r="P24" s="192"/>
      <c r="Q24" s="192"/>
      <c r="R24" s="192"/>
      <c r="S24" s="235"/>
    </row>
    <row r="25" spans="1:19" ht="96.75" thickBot="1">
      <c r="A25" s="235"/>
      <c r="B25" s="1370"/>
      <c r="C25" s="478">
        <v>2</v>
      </c>
      <c r="D25" s="447" t="s">
        <v>1463</v>
      </c>
      <c r="E25" s="32">
        <v>1</v>
      </c>
      <c r="F25" s="32">
        <v>1</v>
      </c>
      <c r="G25" s="190">
        <v>250000000</v>
      </c>
      <c r="H25" s="190">
        <v>250000000</v>
      </c>
      <c r="I25" s="190">
        <v>237127020</v>
      </c>
      <c r="J25" s="190">
        <v>223592020</v>
      </c>
      <c r="K25" s="190"/>
      <c r="L25" s="192"/>
      <c r="M25" s="192"/>
      <c r="N25" s="192"/>
      <c r="O25" s="192"/>
      <c r="P25" s="192"/>
      <c r="Q25" s="192"/>
      <c r="R25" s="192"/>
      <c r="S25" s="235"/>
    </row>
    <row r="26" spans="1:19" ht="72.75" thickBot="1">
      <c r="A26" s="235"/>
      <c r="B26" s="1370"/>
      <c r="C26" s="478">
        <v>3</v>
      </c>
      <c r="D26" s="447" t="s">
        <v>1464</v>
      </c>
      <c r="E26" s="32">
        <v>1</v>
      </c>
      <c r="F26" s="32">
        <v>0.8</v>
      </c>
      <c r="G26" s="190">
        <v>150000000</v>
      </c>
      <c r="H26" s="190">
        <v>150000000</v>
      </c>
      <c r="I26" s="190">
        <v>148000000</v>
      </c>
      <c r="J26" s="190">
        <v>138470088</v>
      </c>
      <c r="K26" s="190"/>
      <c r="L26" s="192"/>
      <c r="M26" s="192"/>
      <c r="N26" s="192"/>
      <c r="O26" s="192"/>
      <c r="P26" s="192"/>
      <c r="Q26" s="192"/>
      <c r="R26" s="192"/>
      <c r="S26" s="235"/>
    </row>
    <row r="27" spans="1:19" ht="15.75" hidden="1" thickBot="1">
      <c r="A27" s="235"/>
      <c r="B27" s="1370"/>
      <c r="C27" s="478">
        <v>4</v>
      </c>
      <c r="D27" s="163"/>
      <c r="E27" s="32"/>
      <c r="F27" s="32"/>
      <c r="G27" s="190"/>
      <c r="H27" s="190"/>
      <c r="I27" s="190"/>
      <c r="J27" s="190"/>
      <c r="K27" s="190"/>
      <c r="L27" s="192"/>
      <c r="M27" s="192"/>
      <c r="N27" s="192"/>
      <c r="O27" s="192"/>
      <c r="P27" s="192"/>
      <c r="Q27" s="192"/>
      <c r="R27" s="192"/>
      <c r="S27" s="235"/>
    </row>
    <row r="28" spans="1:19" ht="15.75" hidden="1" thickBot="1">
      <c r="A28" s="235"/>
      <c r="B28" s="1370"/>
      <c r="C28" s="478">
        <v>5</v>
      </c>
      <c r="D28" s="163"/>
      <c r="E28" s="32"/>
      <c r="F28" s="32"/>
      <c r="G28" s="190"/>
      <c r="H28" s="190"/>
      <c r="I28" s="190"/>
      <c r="J28" s="190"/>
      <c r="K28" s="190"/>
      <c r="L28" s="192"/>
      <c r="M28" s="192"/>
      <c r="N28" s="192"/>
      <c r="O28" s="192"/>
      <c r="P28" s="192"/>
      <c r="Q28" s="192"/>
      <c r="R28" s="192"/>
      <c r="S28" s="235"/>
    </row>
    <row r="29" spans="1:19" ht="15.75" hidden="1" thickBot="1">
      <c r="A29" s="235"/>
      <c r="B29" s="1370"/>
      <c r="C29" s="478">
        <v>6</v>
      </c>
      <c r="D29" s="163"/>
      <c r="E29" s="32"/>
      <c r="F29" s="32"/>
      <c r="G29" s="190"/>
      <c r="H29" s="190"/>
      <c r="I29" s="190"/>
      <c r="J29" s="190"/>
      <c r="K29" s="190"/>
      <c r="L29" s="192"/>
      <c r="M29" s="192"/>
      <c r="N29" s="192"/>
      <c r="O29" s="192"/>
      <c r="P29" s="192"/>
      <c r="Q29" s="192"/>
      <c r="R29" s="192"/>
      <c r="S29" s="235"/>
    </row>
    <row r="30" spans="1:19" ht="15.75" thickBot="1">
      <c r="A30" s="235"/>
      <c r="B30" s="1370"/>
      <c r="C30" s="240"/>
      <c r="D30" s="479"/>
      <c r="E30" s="239"/>
      <c r="F30" s="239"/>
      <c r="G30" s="480">
        <f>SUM(G24:G29)</f>
        <v>600000000</v>
      </c>
      <c r="H30" s="480">
        <f>SUM(H24:H29)</f>
        <v>600000000</v>
      </c>
      <c r="I30" s="480">
        <f>SUM(I24:I29)</f>
        <v>578939617</v>
      </c>
      <c r="J30" s="480">
        <f>SUM(J24:J29)</f>
        <v>465524711</v>
      </c>
      <c r="K30" s="190"/>
      <c r="L30" s="192"/>
      <c r="M30" s="192"/>
      <c r="N30" s="192"/>
      <c r="O30" s="192"/>
      <c r="P30" s="192"/>
      <c r="Q30" s="192"/>
      <c r="R30" s="192"/>
      <c r="S30" s="235"/>
    </row>
    <row r="31" spans="1:19">
      <c r="A31" s="235"/>
      <c r="B31" s="1370"/>
      <c r="C31" s="265"/>
      <c r="D31" s="1357" t="s">
        <v>826</v>
      </c>
      <c r="E31" s="1402"/>
      <c r="F31" s="1402"/>
      <c r="G31" s="1402"/>
      <c r="H31" s="1402"/>
      <c r="I31" s="1402"/>
      <c r="J31" s="1402"/>
      <c r="K31" s="1359"/>
      <c r="L31" s="192"/>
      <c r="M31" s="192"/>
      <c r="N31" s="192"/>
      <c r="O31" s="192"/>
      <c r="P31" s="192"/>
      <c r="Q31" s="192"/>
      <c r="R31" s="192"/>
      <c r="S31" s="235"/>
    </row>
    <row r="32" spans="1:19" ht="15.75" thickBot="1">
      <c r="A32" s="235"/>
      <c r="B32" s="1370"/>
      <c r="C32" s="265"/>
      <c r="D32" s="1357" t="s">
        <v>1140</v>
      </c>
      <c r="E32" s="1402"/>
      <c r="F32" s="1402"/>
      <c r="G32" s="1402"/>
      <c r="H32" s="1402"/>
      <c r="I32" s="1402"/>
      <c r="J32" s="1402"/>
      <c r="K32" s="1359"/>
      <c r="L32" s="192"/>
      <c r="M32" s="192"/>
      <c r="N32" s="192"/>
      <c r="O32" s="192"/>
      <c r="P32" s="192"/>
      <c r="Q32" s="192"/>
      <c r="R32" s="192"/>
      <c r="S32" s="235"/>
    </row>
    <row r="33" spans="1:19" ht="15.75" thickBot="1">
      <c r="A33" s="235"/>
      <c r="B33" s="1370"/>
      <c r="C33" s="1470" t="s">
        <v>19</v>
      </c>
      <c r="D33" s="1655" t="s">
        <v>696</v>
      </c>
      <c r="E33" s="269" t="s">
        <v>828</v>
      </c>
      <c r="F33" s="1646" t="s">
        <v>697</v>
      </c>
      <c r="G33" s="1647"/>
      <c r="H33" s="472"/>
      <c r="I33" s="238"/>
      <c r="J33" s="235"/>
      <c r="K33" s="263"/>
      <c r="L33" s="192"/>
      <c r="M33" s="192"/>
      <c r="N33" s="192"/>
      <c r="O33" s="192"/>
      <c r="P33" s="192"/>
      <c r="Q33" s="192"/>
      <c r="R33" s="192"/>
      <c r="S33" s="235"/>
    </row>
    <row r="34" spans="1:19">
      <c r="A34" s="235"/>
      <c r="B34" s="1370"/>
      <c r="C34" s="1654"/>
      <c r="D34" s="1656"/>
      <c r="E34" s="1369" t="s">
        <v>1141</v>
      </c>
      <c r="F34" s="1369" t="s">
        <v>698</v>
      </c>
      <c r="G34" s="471" t="s">
        <v>699</v>
      </c>
      <c r="H34" s="1369" t="s">
        <v>55</v>
      </c>
      <c r="I34" s="238"/>
      <c r="J34" s="235"/>
      <c r="K34" s="263"/>
      <c r="L34" s="192"/>
      <c r="M34" s="192"/>
      <c r="N34" s="192"/>
      <c r="O34" s="192"/>
      <c r="P34" s="192"/>
      <c r="Q34" s="192"/>
      <c r="R34" s="192"/>
      <c r="S34" s="235"/>
    </row>
    <row r="35" spans="1:19" ht="24.75" thickBot="1">
      <c r="A35" s="235"/>
      <c r="B35" s="1370"/>
      <c r="C35" s="1471"/>
      <c r="D35" s="1657"/>
      <c r="E35" s="1371"/>
      <c r="F35" s="1371"/>
      <c r="G35" s="473" t="s">
        <v>694</v>
      </c>
      <c r="H35" s="1371"/>
      <c r="I35" s="238"/>
      <c r="J35" s="235"/>
      <c r="K35" s="263"/>
      <c r="L35" s="192"/>
      <c r="M35" s="192"/>
      <c r="N35" s="192"/>
      <c r="O35" s="192"/>
      <c r="P35" s="192"/>
      <c r="Q35" s="192"/>
      <c r="R35" s="192"/>
      <c r="S35" s="235"/>
    </row>
    <row r="36" spans="1:19" ht="15.75" thickBot="1">
      <c r="A36" s="235"/>
      <c r="B36" s="1370"/>
      <c r="C36" s="474">
        <v>1</v>
      </c>
      <c r="D36" s="160">
        <v>0.3</v>
      </c>
      <c r="E36" s="352">
        <f>+F24</f>
        <v>0.96</v>
      </c>
      <c r="F36" s="481">
        <f>IFERROR(I24/H24,0)</f>
        <v>0.96906298499999999</v>
      </c>
      <c r="G36" s="481">
        <f>IFERROR(J24/I24,0)</f>
        <v>0.53382806175390141</v>
      </c>
      <c r="H36" s="31"/>
      <c r="I36" s="238"/>
      <c r="J36" s="482"/>
      <c r="K36" s="263"/>
      <c r="L36" s="192"/>
      <c r="M36" s="192"/>
      <c r="N36" s="192"/>
      <c r="O36" s="192"/>
      <c r="P36" s="192"/>
      <c r="Q36" s="192"/>
      <c r="R36" s="192"/>
      <c r="S36" s="235"/>
    </row>
    <row r="37" spans="1:19" ht="15.75" thickBot="1">
      <c r="A37" s="235"/>
      <c r="B37" s="1370"/>
      <c r="C37" s="474">
        <v>2</v>
      </c>
      <c r="D37" s="160">
        <v>0.6</v>
      </c>
      <c r="E37" s="352">
        <f>+F25</f>
        <v>1</v>
      </c>
      <c r="F37" s="481">
        <f>IFERROR(I25/H25,0)</f>
        <v>0.94850807999999998</v>
      </c>
      <c r="G37" s="481">
        <f t="shared" ref="G37:G42" si="0">IFERROR(J25/I25,0)</f>
        <v>0.94292088687320408</v>
      </c>
      <c r="H37" s="31"/>
      <c r="I37" s="238"/>
      <c r="J37" s="235"/>
      <c r="K37" s="263"/>
      <c r="L37" s="192"/>
      <c r="M37" s="192"/>
      <c r="N37" s="192"/>
      <c r="O37" s="192"/>
      <c r="P37" s="192"/>
      <c r="Q37" s="192"/>
      <c r="R37" s="192"/>
      <c r="S37" s="235"/>
    </row>
    <row r="38" spans="1:19" ht="15.75" thickBot="1">
      <c r="A38" s="235"/>
      <c r="B38" s="1370"/>
      <c r="C38" s="474">
        <v>3</v>
      </c>
      <c r="D38" s="160">
        <v>0.1</v>
      </c>
      <c r="E38" s="352">
        <v>1</v>
      </c>
      <c r="F38" s="481">
        <f>IFERROR(I26/H26,0)</f>
        <v>0.98666666666666669</v>
      </c>
      <c r="G38" s="481">
        <f t="shared" si="0"/>
        <v>0.93560870270270269</v>
      </c>
      <c r="H38" s="31"/>
      <c r="I38" s="238"/>
      <c r="J38" s="235"/>
      <c r="K38" s="263"/>
      <c r="L38" s="192"/>
      <c r="M38" s="192"/>
      <c r="N38" s="192"/>
      <c r="O38" s="192"/>
      <c r="P38" s="192"/>
      <c r="Q38" s="192"/>
      <c r="R38" s="192"/>
      <c r="S38" s="235"/>
    </row>
    <row r="39" spans="1:19" ht="15.75" thickBot="1">
      <c r="A39" s="235"/>
      <c r="B39" s="1370"/>
      <c r="C39" s="474">
        <v>4</v>
      </c>
      <c r="D39" s="160"/>
      <c r="E39" s="352">
        <f>+F27</f>
        <v>0</v>
      </c>
      <c r="F39" s="481">
        <f>IFERROR(I27/H27,0)</f>
        <v>0</v>
      </c>
      <c r="G39" s="481">
        <f t="shared" si="0"/>
        <v>0</v>
      </c>
      <c r="H39" s="31"/>
      <c r="I39" s="238"/>
      <c r="J39" s="235"/>
      <c r="K39" s="263"/>
      <c r="L39" s="192"/>
      <c r="M39" s="192"/>
      <c r="N39" s="192"/>
      <c r="O39" s="192"/>
      <c r="P39" s="192"/>
      <c r="Q39" s="192"/>
      <c r="R39" s="192"/>
      <c r="S39" s="235"/>
    </row>
    <row r="40" spans="1:19" ht="15.75" thickBot="1">
      <c r="A40" s="235"/>
      <c r="B40" s="1370"/>
      <c r="C40" s="474">
        <v>5</v>
      </c>
      <c r="D40" s="160"/>
      <c r="E40" s="352">
        <f>+F28</f>
        <v>0</v>
      </c>
      <c r="F40" s="481">
        <f>IFERROR(I28/H28,0)</f>
        <v>0</v>
      </c>
      <c r="G40" s="481">
        <f t="shared" si="0"/>
        <v>0</v>
      </c>
      <c r="H40" s="31"/>
      <c r="I40" s="238"/>
      <c r="J40" s="235"/>
      <c r="K40" s="263"/>
      <c r="L40" s="192"/>
      <c r="M40" s="192"/>
      <c r="N40" s="192"/>
      <c r="O40" s="192"/>
      <c r="P40" s="192"/>
      <c r="Q40" s="192"/>
      <c r="R40" s="192"/>
      <c r="S40" s="235"/>
    </row>
    <row r="41" spans="1:19" ht="15.75" thickBot="1">
      <c r="A41" s="235"/>
      <c r="B41" s="1370"/>
      <c r="C41" s="474">
        <v>6</v>
      </c>
      <c r="D41" s="160"/>
      <c r="E41" s="352">
        <f>+F29</f>
        <v>0</v>
      </c>
      <c r="F41" s="481">
        <f>IFERROR(I29/H29,0)</f>
        <v>0</v>
      </c>
      <c r="G41" s="481">
        <f t="shared" si="0"/>
        <v>0</v>
      </c>
      <c r="H41" s="31"/>
      <c r="I41" s="238"/>
      <c r="J41" s="235"/>
      <c r="K41" s="263"/>
      <c r="L41" s="192"/>
      <c r="M41" s="192"/>
      <c r="N41" s="192"/>
      <c r="O41" s="192"/>
      <c r="P41" s="192"/>
      <c r="Q41" s="192"/>
      <c r="R41" s="192"/>
      <c r="S41" s="235"/>
    </row>
    <row r="42" spans="1:19" ht="15.75" thickBot="1">
      <c r="A42" s="235"/>
      <c r="B42" s="1371"/>
      <c r="C42" s="474"/>
      <c r="D42" s="161">
        <f>+Formulas!D31</f>
        <v>0.99999999999999989</v>
      </c>
      <c r="E42" s="483">
        <f>+D36*E36+D37*E37+D38*E38+D39*E39+D40*E40+D41*E41</f>
        <v>0.98799999999999988</v>
      </c>
      <c r="F42" s="483">
        <f>+D36*F36+D37*F37+D38*F38+D39*F39+D40*F40+D41*F41</f>
        <v>0.95849041016666658</v>
      </c>
      <c r="G42" s="481">
        <f t="shared" si="0"/>
        <v>0.80409890311583221</v>
      </c>
      <c r="H42" s="31"/>
      <c r="I42" s="484"/>
      <c r="J42" s="235"/>
      <c r="K42" s="314"/>
      <c r="L42" s="192"/>
      <c r="M42" s="192" t="s">
        <v>1190</v>
      </c>
      <c r="N42" s="192"/>
      <c r="O42" s="192"/>
      <c r="P42" s="192"/>
      <c r="Q42" s="192"/>
      <c r="R42" s="192"/>
      <c r="S42" s="235"/>
    </row>
    <row r="43" spans="1:19" ht="24" customHeight="1" thickBot="1">
      <c r="B43" s="181" t="s">
        <v>34</v>
      </c>
      <c r="C43" s="85"/>
      <c r="D43" s="1648" t="s">
        <v>1142</v>
      </c>
      <c r="E43" s="1649"/>
      <c r="F43" s="1649"/>
      <c r="G43" s="1649"/>
      <c r="H43" s="1649"/>
      <c r="I43" s="1649"/>
      <c r="J43" s="1649"/>
      <c r="K43" s="1650"/>
      <c r="L43" s="192"/>
      <c r="M43" s="192"/>
      <c r="N43" s="192"/>
      <c r="O43" s="192"/>
      <c r="P43" s="192"/>
      <c r="Q43" s="192"/>
      <c r="R43" s="192"/>
    </row>
    <row r="44" spans="1:19" ht="36.75" thickBot="1">
      <c r="B44" s="181" t="s">
        <v>36</v>
      </c>
      <c r="C44" s="85"/>
      <c r="D44" s="1648" t="s">
        <v>346</v>
      </c>
      <c r="E44" s="1649"/>
      <c r="F44" s="1649"/>
      <c r="G44" s="1649"/>
      <c r="H44" s="1649"/>
      <c r="I44" s="1649"/>
      <c r="J44" s="1649"/>
      <c r="K44" s="1650"/>
      <c r="L44" s="192"/>
      <c r="M44" s="192"/>
      <c r="N44" s="192"/>
      <c r="O44" s="192"/>
      <c r="P44" s="192"/>
      <c r="Q44" s="192"/>
      <c r="R44" s="192"/>
    </row>
    <row r="45" spans="1:19" ht="15.75" thickBot="1">
      <c r="B45" s="8"/>
      <c r="C45" s="80"/>
      <c r="D45" s="19"/>
      <c r="E45" s="19"/>
      <c r="F45" s="19"/>
      <c r="G45" s="19"/>
      <c r="H45" s="19"/>
      <c r="I45" s="19"/>
      <c r="J45" s="19"/>
      <c r="K45" s="19"/>
      <c r="L45" s="192"/>
      <c r="M45" s="192"/>
      <c r="N45" s="192"/>
      <c r="O45" s="192"/>
      <c r="P45" s="192"/>
      <c r="Q45" s="192"/>
      <c r="R45" s="192"/>
    </row>
    <row r="46" spans="1:19" ht="24" customHeight="1" thickBot="1">
      <c r="B46" s="1651" t="s">
        <v>38</v>
      </c>
      <c r="C46" s="1652"/>
      <c r="D46" s="1652"/>
      <c r="E46" s="1653"/>
      <c r="F46" s="19"/>
      <c r="G46" s="19"/>
      <c r="H46" s="19"/>
      <c r="I46" s="19"/>
      <c r="J46" s="19"/>
      <c r="K46" s="19"/>
      <c r="L46" s="192"/>
      <c r="M46" s="192"/>
      <c r="N46" s="192"/>
      <c r="O46" s="192"/>
      <c r="P46" s="192"/>
      <c r="Q46" s="192"/>
      <c r="R46" s="192"/>
    </row>
    <row r="47" spans="1:19" ht="48.75" thickBot="1">
      <c r="B47" s="1643">
        <v>1</v>
      </c>
      <c r="C47" s="81"/>
      <c r="D47" s="34" t="s">
        <v>39</v>
      </c>
      <c r="E47" s="447" t="s">
        <v>1421</v>
      </c>
      <c r="F47" s="19"/>
      <c r="G47" s="19"/>
      <c r="H47" s="19"/>
      <c r="I47" s="19"/>
      <c r="J47" s="19"/>
      <c r="K47" s="19"/>
      <c r="L47" s="192"/>
      <c r="M47" s="192"/>
      <c r="N47" s="192"/>
      <c r="O47" s="192"/>
      <c r="P47" s="192"/>
      <c r="Q47" s="192"/>
      <c r="R47" s="192"/>
    </row>
    <row r="48" spans="1:19" ht="36.75" thickBot="1">
      <c r="B48" s="1644"/>
      <c r="C48" s="81"/>
      <c r="D48" s="183" t="s">
        <v>40</v>
      </c>
      <c r="E48" s="447" t="s">
        <v>1453</v>
      </c>
      <c r="F48" s="19"/>
      <c r="G48" s="19"/>
      <c r="H48" s="19"/>
      <c r="I48" s="19"/>
      <c r="J48" s="19"/>
      <c r="K48" s="19"/>
      <c r="L48" s="192"/>
      <c r="M48" s="192"/>
      <c r="N48" s="192"/>
      <c r="O48" s="192"/>
      <c r="P48" s="192"/>
      <c r="Q48" s="192"/>
      <c r="R48" s="192"/>
    </row>
    <row r="49" spans="2:18" ht="24.75" thickBot="1">
      <c r="B49" s="1644"/>
      <c r="C49" s="81"/>
      <c r="D49" s="183" t="s">
        <v>41</v>
      </c>
      <c r="E49" s="447" t="s">
        <v>1377</v>
      </c>
      <c r="F49" s="19"/>
      <c r="G49" s="19"/>
      <c r="H49" s="19"/>
      <c r="I49" s="19"/>
      <c r="J49" s="19"/>
      <c r="K49" s="19"/>
      <c r="L49" s="192"/>
      <c r="M49" s="192"/>
      <c r="N49" s="192"/>
      <c r="O49" s="192"/>
      <c r="P49" s="192"/>
      <c r="Q49" s="192"/>
      <c r="R49" s="192"/>
    </row>
    <row r="50" spans="2:18" ht="24.75" thickBot="1">
      <c r="B50" s="1644"/>
      <c r="C50" s="81"/>
      <c r="D50" s="183" t="s">
        <v>42</v>
      </c>
      <c r="E50" s="447" t="s">
        <v>1365</v>
      </c>
      <c r="F50" s="19"/>
      <c r="G50" s="19"/>
      <c r="H50" s="19"/>
      <c r="I50" s="19"/>
      <c r="J50" s="19"/>
      <c r="K50" s="19"/>
      <c r="L50" s="192"/>
      <c r="M50" s="192"/>
      <c r="N50" s="192"/>
      <c r="O50" s="192"/>
      <c r="P50" s="192"/>
      <c r="Q50" s="192"/>
      <c r="R50" s="192"/>
    </row>
    <row r="51" spans="2:18" ht="45.75" thickBot="1">
      <c r="B51" s="1644"/>
      <c r="C51" s="81"/>
      <c r="D51" s="183" t="s">
        <v>43</v>
      </c>
      <c r="E51" s="576" t="s">
        <v>1378</v>
      </c>
      <c r="F51" s="19"/>
      <c r="G51" s="19"/>
      <c r="H51" s="19"/>
      <c r="I51" s="19"/>
      <c r="J51" s="19"/>
      <c r="K51" s="19"/>
      <c r="L51" s="192"/>
      <c r="M51" s="192"/>
      <c r="N51" s="192"/>
      <c r="O51" s="192"/>
      <c r="P51" s="192"/>
      <c r="Q51" s="192"/>
      <c r="R51" s="192"/>
    </row>
    <row r="52" spans="2:18" ht="15.75" thickBot="1">
      <c r="B52" s="1644"/>
      <c r="C52" s="81"/>
      <c r="D52" s="183" t="s">
        <v>44</v>
      </c>
      <c r="E52" s="447">
        <v>5748960</v>
      </c>
      <c r="F52" s="19"/>
      <c r="G52" s="19"/>
      <c r="H52" s="19"/>
      <c r="I52" s="19"/>
      <c r="J52" s="19"/>
      <c r="K52" s="19"/>
      <c r="L52" s="192"/>
      <c r="M52" s="192"/>
      <c r="N52" s="192"/>
      <c r="O52" s="192"/>
      <c r="P52" s="192"/>
      <c r="Q52" s="192"/>
      <c r="R52" s="192"/>
    </row>
    <row r="53" spans="2:18" ht="24.75" thickBot="1">
      <c r="B53" s="1645"/>
      <c r="C53" s="9"/>
      <c r="D53" s="183" t="s">
        <v>45</v>
      </c>
      <c r="E53" s="447" t="s">
        <v>1379</v>
      </c>
      <c r="F53" s="19"/>
      <c r="G53" s="19"/>
      <c r="H53" s="19"/>
      <c r="I53" s="19"/>
      <c r="J53" s="19"/>
      <c r="K53" s="19"/>
      <c r="L53" s="192"/>
      <c r="M53" s="192"/>
      <c r="N53" s="192"/>
      <c r="O53" s="192"/>
      <c r="P53" s="192"/>
      <c r="Q53" s="192"/>
      <c r="R53" s="192"/>
    </row>
    <row r="54" spans="2:18" ht="15.75" thickBot="1">
      <c r="B54" s="8"/>
      <c r="C54" s="80"/>
      <c r="D54" s="19"/>
      <c r="E54" s="19"/>
      <c r="F54" s="19"/>
      <c r="G54" s="19"/>
      <c r="H54" s="19"/>
      <c r="I54" s="19"/>
      <c r="J54" s="19"/>
      <c r="K54" s="19"/>
      <c r="L54" s="192"/>
      <c r="M54" s="192"/>
      <c r="N54" s="192"/>
      <c r="O54" s="192"/>
      <c r="P54" s="192"/>
      <c r="Q54" s="192"/>
      <c r="R54" s="192"/>
    </row>
    <row r="55" spans="2:18" ht="15.75" thickBot="1">
      <c r="B55" s="1651" t="s">
        <v>46</v>
      </c>
      <c r="C55" s="1652"/>
      <c r="D55" s="1652"/>
      <c r="E55" s="1658"/>
      <c r="F55" s="19"/>
      <c r="G55" s="19"/>
      <c r="H55" s="19"/>
      <c r="I55" s="19"/>
      <c r="J55" s="19"/>
      <c r="K55" s="19"/>
      <c r="L55" s="192"/>
      <c r="M55" s="192"/>
      <c r="N55" s="192"/>
      <c r="O55" s="192"/>
      <c r="P55" s="192"/>
      <c r="Q55" s="192"/>
      <c r="R55" s="192"/>
    </row>
    <row r="56" spans="2:18" ht="48.75" thickBot="1">
      <c r="B56" s="1643">
        <v>1</v>
      </c>
      <c r="C56" s="81"/>
      <c r="D56" s="1161" t="s">
        <v>39</v>
      </c>
      <c r="E56" s="1163" t="s">
        <v>47</v>
      </c>
      <c r="F56" s="19"/>
      <c r="G56" s="19"/>
      <c r="H56" s="19"/>
      <c r="I56" s="19"/>
      <c r="J56" s="19"/>
      <c r="K56" s="19"/>
      <c r="L56" s="192"/>
      <c r="M56" s="192"/>
      <c r="N56" s="192"/>
      <c r="O56" s="192"/>
      <c r="P56" s="192"/>
      <c r="Q56" s="192"/>
      <c r="R56" s="192"/>
    </row>
    <row r="57" spans="2:18" ht="72.75" thickBot="1">
      <c r="B57" s="1644"/>
      <c r="C57" s="81"/>
      <c r="D57" s="1162" t="s">
        <v>40</v>
      </c>
      <c r="E57" s="1163" t="s">
        <v>48</v>
      </c>
      <c r="F57" s="19"/>
      <c r="G57" s="19"/>
      <c r="H57" s="19"/>
      <c r="I57" s="19"/>
      <c r="J57" s="19"/>
      <c r="K57" s="19"/>
      <c r="L57" s="192"/>
      <c r="M57" s="192"/>
      <c r="N57" s="192"/>
      <c r="O57" s="192"/>
      <c r="P57" s="192"/>
      <c r="Q57" s="192"/>
      <c r="R57" s="192"/>
    </row>
    <row r="58" spans="2:18" ht="15.75" thickBot="1">
      <c r="B58" s="1644"/>
      <c r="C58" s="81"/>
      <c r="D58" s="183" t="s">
        <v>41</v>
      </c>
      <c r="E58" s="577"/>
      <c r="F58" s="19"/>
      <c r="G58" s="19"/>
      <c r="H58" s="19"/>
      <c r="I58" s="19"/>
      <c r="J58" s="19"/>
      <c r="K58" s="19"/>
      <c r="L58" s="192"/>
      <c r="M58" s="192"/>
      <c r="N58" s="192"/>
      <c r="O58" s="192"/>
      <c r="P58" s="192"/>
      <c r="Q58" s="192"/>
      <c r="R58" s="192"/>
    </row>
    <row r="59" spans="2:18" ht="15.75" thickBot="1">
      <c r="B59" s="1644"/>
      <c r="C59" s="81"/>
      <c r="D59" s="183" t="s">
        <v>42</v>
      </c>
      <c r="E59" s="577"/>
      <c r="F59" s="19"/>
      <c r="G59" s="19"/>
      <c r="H59" s="19"/>
      <c r="I59" s="19"/>
      <c r="J59" s="19"/>
      <c r="K59" s="19"/>
      <c r="L59" s="192"/>
      <c r="M59" s="192"/>
      <c r="N59" s="192"/>
      <c r="O59" s="192"/>
      <c r="P59" s="192"/>
      <c r="Q59" s="192"/>
      <c r="R59" s="192"/>
    </row>
    <row r="60" spans="2:18" ht="15.75" thickBot="1">
      <c r="B60" s="1644"/>
      <c r="C60" s="81"/>
      <c r="D60" s="183" t="s">
        <v>43</v>
      </c>
      <c r="E60" s="577"/>
      <c r="F60" s="19"/>
      <c r="G60" s="19"/>
      <c r="H60" s="19"/>
      <c r="I60" s="19"/>
      <c r="J60" s="19"/>
      <c r="K60" s="19"/>
      <c r="L60" s="192"/>
      <c r="M60" s="192"/>
      <c r="N60" s="192"/>
      <c r="O60" s="192"/>
      <c r="P60" s="192"/>
      <c r="Q60" s="192"/>
      <c r="R60" s="192"/>
    </row>
    <row r="61" spans="2:18" ht="15.75" thickBot="1">
      <c r="B61" s="1644"/>
      <c r="C61" s="81"/>
      <c r="D61" s="183" t="s">
        <v>44</v>
      </c>
      <c r="E61" s="577"/>
      <c r="F61" s="19"/>
      <c r="G61" s="19"/>
      <c r="H61" s="19"/>
      <c r="I61" s="19"/>
      <c r="J61" s="19"/>
      <c r="K61" s="19"/>
      <c r="L61" s="192"/>
      <c r="M61" s="192"/>
      <c r="N61" s="192"/>
      <c r="O61" s="192"/>
      <c r="P61" s="192"/>
      <c r="Q61" s="192"/>
      <c r="R61" s="192"/>
    </row>
    <row r="62" spans="2:18" ht="15.75" thickBot="1">
      <c r="B62" s="1645"/>
      <c r="C62" s="9"/>
      <c r="D62" s="183" t="s">
        <v>45</v>
      </c>
      <c r="E62" s="168"/>
      <c r="F62" s="19"/>
      <c r="G62" s="19"/>
      <c r="H62" s="19"/>
      <c r="I62" s="19"/>
      <c r="J62" s="19"/>
      <c r="K62" s="19"/>
      <c r="L62" s="192"/>
      <c r="M62" s="192"/>
      <c r="N62" s="192"/>
      <c r="O62" s="192"/>
      <c r="P62" s="192"/>
      <c r="Q62" s="192"/>
      <c r="R62" s="192"/>
    </row>
    <row r="63" spans="2:18" ht="15.75" thickBot="1">
      <c r="B63" s="8"/>
      <c r="C63" s="80"/>
      <c r="D63" s="19"/>
      <c r="E63" s="19"/>
      <c r="F63" s="19"/>
      <c r="G63" s="19"/>
      <c r="H63" s="19"/>
      <c r="I63" s="19"/>
      <c r="J63" s="19"/>
      <c r="K63" s="19"/>
      <c r="L63" s="192"/>
      <c r="M63" s="192"/>
      <c r="N63" s="192"/>
      <c r="O63" s="192"/>
      <c r="P63" s="192"/>
      <c r="Q63" s="192"/>
      <c r="R63" s="192"/>
    </row>
    <row r="64" spans="2:18" ht="15" customHeight="1" thickBot="1">
      <c r="B64" s="184" t="s">
        <v>49</v>
      </c>
      <c r="C64" s="185"/>
      <c r="D64" s="185"/>
      <c r="E64" s="186"/>
      <c r="F64" s="192"/>
      <c r="G64" s="19"/>
      <c r="H64" s="19"/>
      <c r="I64" s="19"/>
      <c r="J64" s="19"/>
      <c r="K64" s="19"/>
      <c r="L64" s="192"/>
      <c r="M64" s="192"/>
      <c r="N64" s="192"/>
      <c r="O64" s="192"/>
      <c r="P64" s="192"/>
      <c r="Q64" s="192"/>
      <c r="R64" s="192"/>
    </row>
    <row r="65" spans="2:18" ht="24.75" thickBot="1">
      <c r="B65" s="181" t="s">
        <v>50</v>
      </c>
      <c r="C65" s="183" t="s">
        <v>51</v>
      </c>
      <c r="D65" s="183" t="s">
        <v>52</v>
      </c>
      <c r="E65" s="183" t="s">
        <v>53</v>
      </c>
      <c r="F65" s="19"/>
      <c r="G65" s="19"/>
      <c r="H65" s="19"/>
      <c r="I65" s="19"/>
      <c r="J65" s="19"/>
      <c r="K65" s="192"/>
      <c r="L65" s="192"/>
      <c r="M65" s="192"/>
      <c r="N65" s="192"/>
      <c r="O65" s="192"/>
      <c r="P65" s="192"/>
      <c r="Q65" s="192"/>
      <c r="R65" s="192"/>
    </row>
    <row r="66" spans="2:18" ht="60.75" thickBot="1">
      <c r="B66" s="35">
        <v>42401</v>
      </c>
      <c r="C66" s="183">
        <v>0.01</v>
      </c>
      <c r="D66" s="177" t="s">
        <v>1143</v>
      </c>
      <c r="E66" s="183"/>
      <c r="F66" s="19"/>
      <c r="G66" s="19"/>
      <c r="H66" s="19"/>
      <c r="I66" s="19"/>
      <c r="J66" s="19"/>
      <c r="K66" s="192"/>
      <c r="L66" s="192"/>
      <c r="M66" s="192"/>
      <c r="N66" s="192"/>
      <c r="O66" s="192"/>
      <c r="P66" s="192"/>
      <c r="Q66" s="192"/>
      <c r="R66" s="192"/>
    </row>
    <row r="67" spans="2:18" ht="15.75" thickBot="1">
      <c r="B67" s="10"/>
      <c r="C67" s="82"/>
      <c r="D67" s="19"/>
      <c r="E67" s="19"/>
      <c r="F67" s="19"/>
      <c r="G67" s="19"/>
      <c r="H67" s="19"/>
      <c r="I67" s="19"/>
      <c r="J67" s="19"/>
      <c r="K67" s="19"/>
      <c r="L67" s="192"/>
      <c r="M67" s="192"/>
      <c r="N67" s="192"/>
      <c r="O67" s="192"/>
      <c r="P67" s="192"/>
      <c r="Q67" s="192"/>
      <c r="R67" s="192"/>
    </row>
    <row r="68" spans="2:18" ht="24.75" thickBot="1">
      <c r="B68" s="460" t="s">
        <v>55</v>
      </c>
      <c r="C68" s="83"/>
      <c r="D68" s="19"/>
      <c r="E68" s="19"/>
      <c r="F68" s="19"/>
      <c r="G68" s="19"/>
      <c r="H68" s="19"/>
      <c r="I68" s="19"/>
      <c r="J68" s="19"/>
      <c r="K68" s="19"/>
      <c r="L68" s="192"/>
      <c r="M68" s="192"/>
      <c r="N68" s="192"/>
      <c r="O68" s="192"/>
      <c r="P68" s="192"/>
      <c r="Q68" s="192"/>
      <c r="R68" s="192"/>
    </row>
    <row r="69" spans="2:18">
      <c r="B69" s="1604"/>
      <c r="C69" s="1605"/>
      <c r="D69" s="1605"/>
      <c r="E69" s="1605"/>
      <c r="F69" s="1605"/>
      <c r="G69" s="1606"/>
      <c r="H69" s="19"/>
      <c r="I69" s="19"/>
      <c r="J69" s="19"/>
      <c r="K69" s="19"/>
      <c r="L69" s="192"/>
      <c r="M69" s="192"/>
      <c r="N69" s="192"/>
      <c r="O69" s="192"/>
      <c r="P69" s="192"/>
      <c r="Q69" s="192"/>
      <c r="R69" s="192"/>
    </row>
    <row r="70" spans="2:18" ht="15.75" thickBot="1">
      <c r="B70" s="1607"/>
      <c r="C70" s="1608"/>
      <c r="D70" s="1608"/>
      <c r="E70" s="1608"/>
      <c r="F70" s="1608"/>
      <c r="G70" s="1609"/>
      <c r="H70" s="19"/>
      <c r="I70" s="19"/>
      <c r="J70" s="19"/>
      <c r="K70" s="19"/>
      <c r="L70" s="192"/>
      <c r="M70" s="192"/>
      <c r="N70" s="192"/>
      <c r="O70" s="192"/>
      <c r="P70" s="192"/>
      <c r="Q70" s="192"/>
      <c r="R70" s="192"/>
    </row>
    <row r="71" spans="2:18">
      <c r="B71" s="8"/>
      <c r="C71" s="80"/>
      <c r="D71" s="19"/>
      <c r="E71" s="19"/>
      <c r="F71" s="19"/>
      <c r="G71" s="19"/>
      <c r="H71" s="19"/>
      <c r="I71" s="19"/>
      <c r="J71" s="19"/>
      <c r="K71" s="19"/>
      <c r="L71" s="192"/>
      <c r="M71" s="192"/>
      <c r="N71" s="192"/>
      <c r="O71" s="192"/>
      <c r="P71" s="192"/>
      <c r="Q71" s="192"/>
      <c r="R71" s="192"/>
    </row>
    <row r="72" spans="2:18" ht="15.75" thickBot="1">
      <c r="B72" s="19"/>
      <c r="C72" s="79"/>
      <c r="D72" s="19"/>
      <c r="E72" s="19"/>
      <c r="F72" s="19"/>
      <c r="G72" s="19"/>
      <c r="H72" s="19"/>
      <c r="I72" s="19"/>
      <c r="J72" s="19"/>
      <c r="K72" s="19"/>
      <c r="L72" s="192"/>
      <c r="M72" s="192"/>
      <c r="N72" s="192"/>
      <c r="O72" s="192"/>
      <c r="P72" s="192"/>
      <c r="Q72" s="192"/>
      <c r="R72" s="192"/>
    </row>
    <row r="73" spans="2:18" ht="24.75" thickBot="1">
      <c r="B73" s="195" t="s">
        <v>56</v>
      </c>
      <c r="C73" s="84"/>
      <c r="D73" s="19"/>
      <c r="E73" s="19"/>
      <c r="F73" s="19"/>
      <c r="G73" s="19"/>
      <c r="H73" s="19"/>
      <c r="I73" s="19"/>
      <c r="J73" s="19"/>
      <c r="K73" s="19"/>
      <c r="L73" s="192"/>
      <c r="M73" s="192"/>
      <c r="N73" s="192"/>
      <c r="O73" s="192"/>
      <c r="P73" s="192"/>
      <c r="Q73" s="192"/>
      <c r="R73" s="192"/>
    </row>
    <row r="74" spans="2:18" ht="15.75" thickBot="1">
      <c r="B74" s="29"/>
      <c r="C74" s="77"/>
      <c r="D74" s="19"/>
      <c r="E74" s="19"/>
      <c r="F74" s="19"/>
      <c r="G74" s="19"/>
      <c r="H74" s="19"/>
      <c r="I74" s="19"/>
      <c r="J74" s="19"/>
      <c r="K74" s="19"/>
      <c r="L74" s="192"/>
      <c r="M74" s="192"/>
      <c r="N74" s="192"/>
      <c r="O74" s="192"/>
      <c r="P74" s="192"/>
      <c r="Q74" s="192"/>
      <c r="R74" s="192"/>
    </row>
    <row r="75" spans="2:18" ht="60.75" thickBot="1">
      <c r="B75" s="36" t="s">
        <v>57</v>
      </c>
      <c r="C75" s="21"/>
      <c r="D75" s="182" t="s">
        <v>1111</v>
      </c>
      <c r="E75" s="19"/>
      <c r="F75" s="19"/>
      <c r="G75" s="19"/>
      <c r="H75" s="19"/>
      <c r="I75" s="19"/>
      <c r="J75" s="19"/>
      <c r="K75" s="19"/>
      <c r="L75" s="192"/>
      <c r="M75" s="192"/>
      <c r="N75" s="192"/>
      <c r="O75" s="192"/>
      <c r="P75" s="192"/>
      <c r="Q75" s="192"/>
      <c r="R75" s="192"/>
    </row>
    <row r="76" spans="2:18">
      <c r="B76" s="1643" t="s">
        <v>59</v>
      </c>
      <c r="C76" s="81"/>
      <c r="D76" s="178" t="s">
        <v>60</v>
      </c>
      <c r="E76" s="19"/>
      <c r="F76" s="19"/>
      <c r="G76" s="19"/>
      <c r="H76" s="19"/>
      <c r="I76" s="19"/>
      <c r="J76" s="19"/>
      <c r="K76" s="19"/>
      <c r="L76" s="192"/>
      <c r="M76" s="192"/>
      <c r="N76" s="192"/>
      <c r="O76" s="192"/>
      <c r="P76" s="192"/>
      <c r="Q76" s="192"/>
      <c r="R76" s="192"/>
    </row>
    <row r="77" spans="2:18" ht="84">
      <c r="B77" s="1644"/>
      <c r="C77" s="81"/>
      <c r="D77" s="179" t="s">
        <v>1112</v>
      </c>
      <c r="E77" s="19"/>
      <c r="F77" s="19"/>
      <c r="G77" s="19"/>
      <c r="H77" s="19"/>
      <c r="I77" s="19"/>
      <c r="J77" s="19"/>
      <c r="K77" s="19"/>
      <c r="L77" s="192"/>
      <c r="M77" s="192"/>
      <c r="N77" s="192"/>
      <c r="O77" s="192"/>
      <c r="P77" s="192"/>
      <c r="Q77" s="192"/>
      <c r="R77" s="192"/>
    </row>
    <row r="78" spans="2:18">
      <c r="B78" s="1644"/>
      <c r="C78" s="81"/>
      <c r="D78" s="178" t="s">
        <v>63</v>
      </c>
      <c r="E78" s="19"/>
      <c r="F78" s="19"/>
      <c r="G78" s="19"/>
      <c r="H78" s="19"/>
      <c r="I78" s="19"/>
      <c r="J78" s="19"/>
      <c r="K78" s="19"/>
      <c r="L78" s="192"/>
      <c r="M78" s="192"/>
      <c r="N78" s="192"/>
      <c r="O78" s="192"/>
      <c r="P78" s="192"/>
      <c r="Q78" s="192"/>
      <c r="R78" s="192"/>
    </row>
    <row r="79" spans="2:18">
      <c r="B79" s="1644"/>
      <c r="C79" s="81"/>
      <c r="D79" s="179" t="s">
        <v>1113</v>
      </c>
      <c r="E79" s="19"/>
      <c r="F79" s="19"/>
      <c r="G79" s="19"/>
      <c r="H79" s="19"/>
      <c r="I79" s="19"/>
      <c r="J79" s="19"/>
      <c r="K79" s="19"/>
      <c r="L79" s="192"/>
      <c r="M79" s="192"/>
      <c r="N79" s="192"/>
      <c r="O79" s="192"/>
      <c r="P79" s="192"/>
      <c r="Q79" s="192"/>
      <c r="R79" s="192"/>
    </row>
    <row r="80" spans="2:18">
      <c r="B80" s="1644"/>
      <c r="C80" s="81"/>
      <c r="D80" s="179" t="s">
        <v>65</v>
      </c>
      <c r="E80" s="19"/>
      <c r="F80" s="19"/>
      <c r="G80" s="19"/>
      <c r="H80" s="19"/>
      <c r="I80" s="19"/>
      <c r="J80" s="19"/>
      <c r="K80" s="19"/>
      <c r="L80" s="192"/>
      <c r="M80" s="192"/>
      <c r="N80" s="192"/>
      <c r="O80" s="192"/>
      <c r="P80" s="192"/>
      <c r="Q80" s="192"/>
      <c r="R80" s="192"/>
    </row>
    <row r="81" spans="2:18">
      <c r="B81" s="1644"/>
      <c r="C81" s="81"/>
      <c r="D81" s="178" t="s">
        <v>288</v>
      </c>
      <c r="E81" s="19"/>
      <c r="F81" s="19"/>
      <c r="G81" s="19"/>
      <c r="H81" s="19"/>
      <c r="I81" s="19"/>
      <c r="J81" s="19"/>
      <c r="K81" s="19"/>
      <c r="L81" s="192"/>
      <c r="M81" s="192"/>
      <c r="N81" s="192"/>
      <c r="O81" s="192"/>
      <c r="P81" s="192"/>
      <c r="Q81" s="192"/>
      <c r="R81" s="192"/>
    </row>
    <row r="82" spans="2:18" ht="15.75" thickBot="1">
      <c r="B82" s="1645"/>
      <c r="C82" s="9"/>
      <c r="D82" s="183" t="s">
        <v>1114</v>
      </c>
      <c r="E82" s="19"/>
      <c r="F82" s="19"/>
      <c r="G82" s="19"/>
      <c r="H82" s="19"/>
      <c r="I82" s="19"/>
      <c r="J82" s="19"/>
      <c r="K82" s="19"/>
      <c r="L82" s="192"/>
      <c r="M82" s="192"/>
      <c r="N82" s="192"/>
      <c r="O82" s="192"/>
      <c r="P82" s="192"/>
      <c r="Q82" s="192"/>
      <c r="R82" s="192"/>
    </row>
    <row r="83" spans="2:18">
      <c r="B83" s="1643" t="s">
        <v>72</v>
      </c>
      <c r="C83" s="196"/>
      <c r="D83" s="1643"/>
      <c r="E83" s="19"/>
      <c r="F83" s="19"/>
      <c r="G83" s="19"/>
      <c r="H83" s="19"/>
      <c r="I83" s="19"/>
      <c r="J83" s="19"/>
      <c r="K83" s="19"/>
      <c r="L83" s="192"/>
      <c r="M83" s="192"/>
      <c r="N83" s="192"/>
      <c r="O83" s="192"/>
      <c r="P83" s="192"/>
      <c r="Q83" s="192"/>
      <c r="R83" s="192"/>
    </row>
    <row r="84" spans="2:18" ht="15.75" thickBot="1">
      <c r="B84" s="1645"/>
      <c r="C84" s="78"/>
      <c r="D84" s="1645"/>
      <c r="E84" s="19"/>
      <c r="F84" s="19"/>
      <c r="G84" s="19"/>
      <c r="H84" s="19"/>
      <c r="I84" s="19"/>
      <c r="J84" s="19"/>
      <c r="K84" s="19"/>
      <c r="L84" s="192"/>
      <c r="M84" s="192"/>
      <c r="N84" s="192"/>
      <c r="O84" s="192"/>
      <c r="P84" s="192"/>
      <c r="Q84" s="192"/>
      <c r="R84" s="192"/>
    </row>
    <row r="85" spans="2:18" ht="96">
      <c r="B85" s="1643" t="s">
        <v>73</v>
      </c>
      <c r="C85" s="81"/>
      <c r="D85" s="179" t="s">
        <v>1115</v>
      </c>
      <c r="E85" s="19"/>
      <c r="F85" s="19"/>
      <c r="G85" s="19"/>
      <c r="H85" s="19"/>
      <c r="I85" s="19"/>
      <c r="J85" s="19"/>
      <c r="K85" s="19"/>
      <c r="L85" s="192"/>
      <c r="M85" s="192"/>
      <c r="N85" s="192"/>
      <c r="O85" s="192"/>
      <c r="P85" s="192"/>
      <c r="Q85" s="192"/>
      <c r="R85" s="192"/>
    </row>
    <row r="86" spans="2:18" ht="204">
      <c r="B86" s="1644"/>
      <c r="C86" s="81"/>
      <c r="D86" s="179" t="s">
        <v>1116</v>
      </c>
      <c r="E86" s="19"/>
      <c r="F86" s="19"/>
      <c r="G86" s="19"/>
      <c r="H86" s="19"/>
      <c r="I86" s="19"/>
      <c r="J86" s="19"/>
      <c r="K86" s="19"/>
      <c r="L86" s="192"/>
      <c r="M86" s="192"/>
      <c r="N86" s="192"/>
      <c r="O86" s="192"/>
      <c r="P86" s="192"/>
      <c r="Q86" s="192"/>
      <c r="R86" s="192"/>
    </row>
    <row r="87" spans="2:18" ht="228">
      <c r="B87" s="1644"/>
      <c r="C87" s="81"/>
      <c r="D87" s="179" t="s">
        <v>1117</v>
      </c>
      <c r="E87" s="19"/>
      <c r="F87" s="19"/>
      <c r="G87" s="19"/>
      <c r="H87" s="19"/>
      <c r="I87" s="19"/>
      <c r="J87" s="19"/>
      <c r="K87" s="19"/>
    </row>
    <row r="88" spans="2:18" ht="96">
      <c r="B88" s="1644"/>
      <c r="C88" s="81"/>
      <c r="D88" s="179" t="s">
        <v>1118</v>
      </c>
      <c r="E88" s="19"/>
      <c r="F88" s="19"/>
      <c r="G88" s="19"/>
      <c r="H88" s="19"/>
      <c r="I88" s="19"/>
      <c r="J88" s="19"/>
      <c r="K88" s="19"/>
    </row>
    <row r="89" spans="2:18" ht="36">
      <c r="B89" s="1644"/>
      <c r="C89" s="81"/>
      <c r="D89" s="179" t="s">
        <v>1119</v>
      </c>
      <c r="E89" s="19"/>
      <c r="F89" s="19"/>
      <c r="G89" s="19"/>
      <c r="H89" s="19"/>
      <c r="I89" s="19"/>
      <c r="J89" s="19"/>
      <c r="K89" s="19"/>
    </row>
    <row r="90" spans="2:18" ht="36">
      <c r="B90" s="1644"/>
      <c r="C90" s="81"/>
      <c r="D90" s="179" t="s">
        <v>1120</v>
      </c>
      <c r="E90" s="19"/>
      <c r="F90" s="19"/>
      <c r="G90" s="19"/>
      <c r="H90" s="19"/>
      <c r="I90" s="19"/>
      <c r="J90" s="19"/>
      <c r="K90" s="19"/>
    </row>
    <row r="91" spans="2:18" ht="36">
      <c r="B91" s="1644"/>
      <c r="C91" s="81"/>
      <c r="D91" s="179" t="s">
        <v>1121</v>
      </c>
      <c r="E91" s="19"/>
      <c r="F91" s="19"/>
      <c r="G91" s="19"/>
      <c r="H91" s="19"/>
      <c r="I91" s="19"/>
      <c r="J91" s="19"/>
      <c r="K91" s="19"/>
    </row>
    <row r="92" spans="2:18" ht="24">
      <c r="B92" s="1644"/>
      <c r="C92" s="81"/>
      <c r="D92" s="179" t="s">
        <v>1122</v>
      </c>
      <c r="E92" s="19"/>
      <c r="F92" s="19"/>
      <c r="G92" s="19"/>
      <c r="H92" s="19"/>
      <c r="I92" s="19"/>
      <c r="J92" s="19"/>
      <c r="K92" s="19"/>
    </row>
    <row r="93" spans="2:18" ht="36">
      <c r="B93" s="1644"/>
      <c r="C93" s="81"/>
      <c r="D93" s="179" t="s">
        <v>1123</v>
      </c>
      <c r="E93" s="19"/>
      <c r="F93" s="19"/>
      <c r="G93" s="19"/>
      <c r="H93" s="19"/>
      <c r="I93" s="19"/>
      <c r="J93" s="19"/>
      <c r="K93" s="19"/>
    </row>
    <row r="94" spans="2:18" ht="36">
      <c r="B94" s="1644"/>
      <c r="C94" s="81"/>
      <c r="D94" s="179" t="s">
        <v>1124</v>
      </c>
      <c r="E94" s="19"/>
      <c r="F94" s="19"/>
      <c r="G94" s="19"/>
      <c r="H94" s="19"/>
      <c r="I94" s="19"/>
      <c r="J94" s="19"/>
      <c r="K94" s="19"/>
    </row>
    <row r="95" spans="2:18" ht="72.75" thickBot="1">
      <c r="B95" s="1645"/>
      <c r="C95" s="9"/>
      <c r="D95" s="183" t="s">
        <v>1125</v>
      </c>
      <c r="E95" s="19"/>
      <c r="F95" s="19"/>
      <c r="G95" s="19"/>
      <c r="H95" s="19"/>
      <c r="I95" s="19"/>
      <c r="J95" s="19"/>
      <c r="K95" s="19"/>
    </row>
    <row r="96" spans="2:18" ht="24">
      <c r="B96" s="1643" t="s">
        <v>90</v>
      </c>
      <c r="C96" s="81"/>
      <c r="D96" s="178" t="s">
        <v>1126</v>
      </c>
      <c r="E96" s="19"/>
      <c r="F96" s="19"/>
      <c r="G96" s="19"/>
      <c r="H96" s="19"/>
      <c r="I96" s="19"/>
      <c r="J96" s="19"/>
      <c r="K96" s="19"/>
    </row>
    <row r="97" spans="2:11">
      <c r="B97" s="1644"/>
      <c r="C97" s="81"/>
      <c r="D97" s="180"/>
      <c r="E97" s="19"/>
      <c r="F97" s="19"/>
      <c r="G97" s="19"/>
      <c r="H97" s="19"/>
      <c r="I97" s="19"/>
      <c r="J97" s="19"/>
      <c r="K97" s="19"/>
    </row>
    <row r="98" spans="2:11">
      <c r="B98" s="1644"/>
      <c r="C98" s="81"/>
      <c r="D98" s="179" t="s">
        <v>91</v>
      </c>
      <c r="E98" s="19"/>
      <c r="F98" s="19"/>
      <c r="G98" s="19"/>
      <c r="H98" s="19"/>
      <c r="I98" s="19"/>
      <c r="J98" s="19"/>
      <c r="K98" s="19"/>
    </row>
    <row r="99" spans="2:11" ht="25.5">
      <c r="B99" s="1644"/>
      <c r="C99" s="81"/>
      <c r="D99" s="179" t="s">
        <v>1127</v>
      </c>
      <c r="E99" s="19"/>
      <c r="F99" s="19"/>
      <c r="G99" s="19"/>
      <c r="H99" s="19"/>
      <c r="I99" s="19"/>
      <c r="J99" s="19"/>
      <c r="K99" s="19"/>
    </row>
    <row r="100" spans="2:11" ht="37.5">
      <c r="B100" s="1644"/>
      <c r="C100" s="81"/>
      <c r="D100" s="179" t="s">
        <v>1128</v>
      </c>
      <c r="E100" s="19"/>
      <c r="F100" s="19"/>
      <c r="G100" s="19"/>
      <c r="H100" s="19"/>
      <c r="I100" s="19"/>
      <c r="J100" s="19"/>
      <c r="K100" s="19"/>
    </row>
    <row r="101" spans="2:11" ht="37.5">
      <c r="B101" s="1644"/>
      <c r="C101" s="81"/>
      <c r="D101" s="179" t="s">
        <v>1129</v>
      </c>
      <c r="E101" s="19"/>
      <c r="F101" s="19"/>
      <c r="G101" s="19"/>
      <c r="H101" s="19"/>
      <c r="I101" s="19"/>
      <c r="J101" s="19"/>
      <c r="K101" s="19"/>
    </row>
    <row r="102" spans="2:11" ht="37.5">
      <c r="B102" s="1644"/>
      <c r="C102" s="81"/>
      <c r="D102" s="179" t="s">
        <v>1130</v>
      </c>
      <c r="E102" s="19"/>
      <c r="F102" s="19"/>
      <c r="G102" s="19"/>
      <c r="H102" s="19"/>
      <c r="I102" s="19"/>
      <c r="J102" s="19"/>
      <c r="K102" s="19"/>
    </row>
    <row r="103" spans="2:11">
      <c r="B103" s="1644"/>
      <c r="C103" s="81"/>
      <c r="D103" s="179" t="s">
        <v>1131</v>
      </c>
      <c r="E103" s="19"/>
      <c r="F103" s="19"/>
      <c r="G103" s="19"/>
      <c r="H103" s="19"/>
      <c r="I103" s="19"/>
      <c r="J103" s="19"/>
      <c r="K103" s="19"/>
    </row>
    <row r="104" spans="2:11">
      <c r="B104" s="1644"/>
      <c r="C104" s="81"/>
      <c r="D104" s="179" t="s">
        <v>1132</v>
      </c>
      <c r="E104" s="19"/>
      <c r="F104" s="19"/>
      <c r="G104" s="19"/>
      <c r="H104" s="19"/>
      <c r="I104" s="19"/>
      <c r="J104" s="19"/>
      <c r="K104" s="19"/>
    </row>
    <row r="105" spans="2:11">
      <c r="B105" s="1644"/>
      <c r="C105" s="81"/>
      <c r="D105" s="179" t="s">
        <v>1133</v>
      </c>
      <c r="E105" s="19"/>
      <c r="F105" s="19"/>
      <c r="G105" s="19"/>
      <c r="H105" s="19"/>
      <c r="I105" s="19"/>
      <c r="J105" s="19"/>
      <c r="K105" s="19"/>
    </row>
    <row r="106" spans="2:11">
      <c r="B106" s="1644"/>
      <c r="C106" s="81"/>
      <c r="D106" s="179" t="s">
        <v>818</v>
      </c>
      <c r="E106" s="19"/>
      <c r="F106" s="19"/>
      <c r="G106" s="19"/>
      <c r="H106" s="19"/>
      <c r="I106" s="19"/>
      <c r="J106" s="19"/>
      <c r="K106" s="19"/>
    </row>
    <row r="107" spans="2:11" ht="84">
      <c r="B107" s="1644"/>
      <c r="C107" s="81"/>
      <c r="D107" s="197" t="s">
        <v>235</v>
      </c>
      <c r="E107" s="19"/>
      <c r="F107" s="19"/>
      <c r="G107" s="19"/>
      <c r="H107" s="19"/>
      <c r="I107" s="19"/>
      <c r="J107" s="19"/>
      <c r="K107" s="19"/>
    </row>
    <row r="108" spans="2:11">
      <c r="B108" s="1644"/>
      <c r="C108" s="81"/>
      <c r="D108" s="179" t="s">
        <v>246</v>
      </c>
      <c r="E108" s="19"/>
      <c r="F108" s="19"/>
      <c r="G108" s="19"/>
      <c r="H108" s="19"/>
      <c r="I108" s="19"/>
      <c r="J108" s="19"/>
      <c r="K108" s="19"/>
    </row>
    <row r="109" spans="2:11" ht="24">
      <c r="B109" s="1644"/>
      <c r="C109" s="81"/>
      <c r="D109" s="178" t="s">
        <v>1134</v>
      </c>
      <c r="E109" s="19"/>
      <c r="F109" s="19"/>
      <c r="G109" s="19"/>
      <c r="H109" s="19"/>
      <c r="I109" s="19"/>
      <c r="J109" s="19"/>
      <c r="K109" s="19"/>
    </row>
    <row r="110" spans="2:11">
      <c r="B110" s="1644"/>
      <c r="C110" s="81"/>
      <c r="D110" s="180"/>
      <c r="E110" s="19"/>
      <c r="F110" s="19"/>
      <c r="G110" s="19"/>
      <c r="H110" s="19"/>
      <c r="I110" s="19"/>
      <c r="J110" s="19"/>
      <c r="K110" s="19"/>
    </row>
    <row r="111" spans="2:11">
      <c r="B111" s="1644"/>
      <c r="C111" s="81"/>
      <c r="D111" s="179" t="s">
        <v>91</v>
      </c>
      <c r="E111" s="19"/>
      <c r="F111" s="19"/>
      <c r="G111" s="19"/>
      <c r="H111" s="19"/>
      <c r="I111" s="19"/>
      <c r="J111" s="19"/>
      <c r="K111" s="19"/>
    </row>
    <row r="112" spans="2:11" ht="37.5">
      <c r="B112" s="1644"/>
      <c r="C112" s="81"/>
      <c r="D112" s="179" t="s">
        <v>1135</v>
      </c>
      <c r="E112" s="19"/>
      <c r="F112" s="19"/>
      <c r="G112" s="19"/>
      <c r="H112" s="19"/>
      <c r="I112" s="19"/>
      <c r="J112" s="19"/>
      <c r="K112" s="19"/>
    </row>
    <row r="113" spans="2:11" ht="37.5">
      <c r="B113" s="1644"/>
      <c r="C113" s="81"/>
      <c r="D113" s="179" t="s">
        <v>1136</v>
      </c>
      <c r="E113" s="19"/>
      <c r="F113" s="19"/>
      <c r="G113" s="19"/>
      <c r="H113" s="19"/>
      <c r="I113" s="19"/>
      <c r="J113" s="19"/>
      <c r="K113" s="19"/>
    </row>
    <row r="114" spans="2:11" ht="38.25" thickBot="1">
      <c r="B114" s="1645"/>
      <c r="C114" s="9"/>
      <c r="D114" s="183" t="s">
        <v>1137</v>
      </c>
      <c r="E114" s="19"/>
      <c r="F114" s="19"/>
      <c r="G114" s="19"/>
      <c r="H114" s="19"/>
      <c r="I114" s="19"/>
      <c r="J114" s="19"/>
      <c r="K114" s="19"/>
    </row>
    <row r="115" spans="2:11">
      <c r="B115" s="19"/>
      <c r="C115" s="79"/>
      <c r="D115" s="19"/>
      <c r="E115" s="19"/>
      <c r="F115" s="19"/>
      <c r="G115" s="19"/>
      <c r="H115" s="19"/>
      <c r="I115" s="19"/>
      <c r="J115" s="19"/>
      <c r="K115" s="19"/>
    </row>
    <row r="116" spans="2:11" s="192" customFormat="1">
      <c r="C116" s="79"/>
    </row>
    <row r="117" spans="2:11" s="192" customFormat="1">
      <c r="C117" s="79"/>
    </row>
    <row r="118" spans="2:11" s="192" customFormat="1">
      <c r="C118" s="79"/>
    </row>
    <row r="119" spans="2:11" s="192" customFormat="1">
      <c r="C119" s="79"/>
    </row>
    <row r="120" spans="2:11" s="192" customFormat="1">
      <c r="C120" s="79"/>
    </row>
    <row r="121" spans="2:11" s="192" customFormat="1">
      <c r="C121" s="79"/>
    </row>
    <row r="122" spans="2:11" s="192" customFormat="1">
      <c r="C122" s="79"/>
    </row>
    <row r="123" spans="2:11" s="192" customFormat="1">
      <c r="C123" s="79"/>
    </row>
    <row r="124" spans="2:11" s="192" customFormat="1">
      <c r="C124" s="79"/>
    </row>
  </sheetData>
  <sheetProtection formatCells="0" formatRows="0" insertColumns="0" insertRows="0" deleteColumns="0" deleteRows="0"/>
  <mergeCells count="38">
    <mergeCell ref="D21:K21"/>
    <mergeCell ref="D22:D23"/>
    <mergeCell ref="E22:F22"/>
    <mergeCell ref="G22:J22"/>
    <mergeCell ref="C22:C23"/>
    <mergeCell ref="B76:B82"/>
    <mergeCell ref="B83:B84"/>
    <mergeCell ref="D83:D84"/>
    <mergeCell ref="C33:C35"/>
    <mergeCell ref="D33:D35"/>
    <mergeCell ref="B56:B62"/>
    <mergeCell ref="B55:E55"/>
    <mergeCell ref="B85:B95"/>
    <mergeCell ref="B96:B114"/>
    <mergeCell ref="B69:G70"/>
    <mergeCell ref="H34:H35"/>
    <mergeCell ref="D31:K31"/>
    <mergeCell ref="F33:G33"/>
    <mergeCell ref="E34:E35"/>
    <mergeCell ref="F34:F35"/>
    <mergeCell ref="D32:K32"/>
    <mergeCell ref="D43:K43"/>
    <mergeCell ref="D44:K44"/>
    <mergeCell ref="B46:E46"/>
    <mergeCell ref="B47:B53"/>
    <mergeCell ref="B15:B42"/>
    <mergeCell ref="D15:K15"/>
    <mergeCell ref="D20:K20"/>
    <mergeCell ref="B10:D10"/>
    <mergeCell ref="F10:S10"/>
    <mergeCell ref="F11:S11"/>
    <mergeCell ref="E12:R12"/>
    <mergeCell ref="E13:R13"/>
    <mergeCell ref="A1:P1"/>
    <mergeCell ref="A2:P2"/>
    <mergeCell ref="A3:P3"/>
    <mergeCell ref="A4:D4"/>
    <mergeCell ref="A5:P5"/>
  </mergeCells>
  <conditionalFormatting sqref="D42">
    <cfRule type="containsText" dxfId="17" priority="7" operator="containsText" text="ERROR">
      <formula>NOT(ISERROR(SEARCH("ERROR",D42)))</formula>
    </cfRule>
  </conditionalFormatting>
  <conditionalFormatting sqref="F11:S11">
    <cfRule type="expression" dxfId="16" priority="4">
      <formula>E11="NO SE REPORTA"</formula>
    </cfRule>
    <cfRule type="expression" dxfId="15" priority="5">
      <formula>E10="NO APLICA"</formula>
    </cfRule>
  </conditionalFormatting>
  <conditionalFormatting sqref="E12:R12">
    <cfRule type="expression" dxfId="14" priority="3">
      <formula>E11="SI SE REPORTA"</formula>
    </cfRule>
  </conditionalFormatting>
  <conditionalFormatting sqref="F10:S10">
    <cfRule type="expression" dxfId="13" priority="1">
      <formula>E10="NO SE REPORTA"</formula>
    </cfRule>
    <cfRule type="expression" dxfId="12" priority="2">
      <formula>E9="NO APLICA"</formula>
    </cfRule>
  </conditionalFormatting>
  <dataValidations count="6">
    <dataValidation type="whole" operator="greaterThanOrEqual" allowBlank="1" showErrorMessage="1" errorTitle="ERROR" error="Escriba un número igual o mayor que 0" promptTitle="ERROR" prompt="Escriba un número igual o mayor que 0" sqref="E17:H17">
      <formula1>0</formula1>
    </dataValidation>
    <dataValidation type="whole" operator="greaterThanOrEqual" allowBlank="1" showInputMessage="1" showErrorMessage="1" errorTitle="ERROR" error="Valor en PESOS (sin centavos)" sqref="E18:H19 G24:J29">
      <formula1>0</formula1>
    </dataValidation>
    <dataValidation type="decimal" allowBlank="1" showInputMessage="1" showErrorMessage="1" errorTitle="ERROR" error="Escriba un valor entre 0% y 100%" sqref="E24:F29 D36:D41">
      <formula1>0</formula1>
      <formula2>1</formula2>
    </dataValidation>
    <dataValidation allowBlank="1" showInputMessage="1" showErrorMessage="1" sqref="D42 G30:J30 E36:G42"/>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51" r:id="rId1"/>
  </hyperlinks>
  <pageMargins left="0.25" right="0.25" top="0.75" bottom="0.75" header="0.3" footer="0.3"/>
  <pageSetup paperSize="178" orientation="landscape" horizontalDpi="1200" verticalDpi="1200" r:id="rId2"/>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zoomScale="98" zoomScaleNormal="98" workbookViewId="0"/>
  </sheetViews>
  <sheetFormatPr baseColWidth="10" defaultRowHeight="15"/>
  <cols>
    <col min="1" max="1" width="8.140625" bestFit="1" customWidth="1"/>
    <col min="2" max="2" width="12.85546875" bestFit="1" customWidth="1"/>
    <col min="3" max="3" width="68.85546875" customWidth="1"/>
  </cols>
  <sheetData>
    <row r="1" spans="1:4">
      <c r="A1" s="487" t="s">
        <v>1182</v>
      </c>
    </row>
    <row r="3" spans="1:4">
      <c r="B3" s="176" t="s">
        <v>1180</v>
      </c>
    </row>
    <row r="5" spans="1:4">
      <c r="B5" s="174"/>
      <c r="C5" s="175"/>
      <c r="D5" s="173"/>
    </row>
    <row r="6" spans="1:4">
      <c r="A6" s="162" t="s">
        <v>1178</v>
      </c>
      <c r="B6" s="162" t="s">
        <v>1179</v>
      </c>
      <c r="C6" s="162" t="s">
        <v>1177</v>
      </c>
    </row>
    <row r="7" spans="1:4">
      <c r="A7" s="485"/>
      <c r="B7" s="485"/>
      <c r="C7" s="486"/>
    </row>
    <row r="8" spans="1:4">
      <c r="A8" s="485"/>
      <c r="B8" s="485"/>
      <c r="C8" s="486"/>
    </row>
    <row r="9" spans="1:4">
      <c r="A9" s="485"/>
      <c r="B9" s="485"/>
      <c r="C9" s="486"/>
    </row>
    <row r="10" spans="1:4">
      <c r="A10" s="485"/>
      <c r="B10" s="485"/>
      <c r="C10" s="486"/>
    </row>
    <row r="11" spans="1:4">
      <c r="A11" s="485"/>
      <c r="B11" s="485"/>
      <c r="C11" s="486"/>
    </row>
    <row r="12" spans="1:4">
      <c r="A12" s="485"/>
      <c r="B12" s="485"/>
      <c r="C12" s="486"/>
    </row>
    <row r="13" spans="1:4">
      <c r="A13" s="485"/>
      <c r="B13" s="485"/>
      <c r="C13" s="486"/>
    </row>
    <row r="14" spans="1:4">
      <c r="A14" s="485"/>
      <c r="B14" s="485"/>
      <c r="C14" s="486"/>
    </row>
    <row r="15" spans="1:4">
      <c r="A15" s="485"/>
      <c r="B15" s="485"/>
      <c r="C15" s="486"/>
    </row>
    <row r="16" spans="1:4">
      <c r="A16" s="485"/>
      <c r="B16" s="485"/>
      <c r="C16" s="486"/>
    </row>
    <row r="17" spans="1:3">
      <c r="A17" s="485"/>
      <c r="B17" s="485"/>
      <c r="C17" s="486"/>
    </row>
    <row r="18" spans="1:3">
      <c r="A18" s="485"/>
      <c r="B18" s="485"/>
      <c r="C18" s="486"/>
    </row>
    <row r="19" spans="1:3">
      <c r="A19" s="485"/>
      <c r="B19" s="485"/>
      <c r="C19" s="486"/>
    </row>
    <row r="20" spans="1:3">
      <c r="A20" s="485"/>
      <c r="B20" s="485"/>
      <c r="C20" s="486"/>
    </row>
    <row r="21" spans="1:3">
      <c r="A21" s="485"/>
      <c r="B21" s="485"/>
      <c r="C21" s="486"/>
    </row>
    <row r="22" spans="1:3">
      <c r="A22" s="485"/>
      <c r="B22" s="485"/>
      <c r="C22" s="486"/>
    </row>
    <row r="23" spans="1:3">
      <c r="A23" s="485"/>
      <c r="B23" s="485"/>
      <c r="C23" s="486"/>
    </row>
    <row r="24" spans="1:3">
      <c r="A24" s="485"/>
      <c r="B24" s="485"/>
      <c r="C24" s="486"/>
    </row>
    <row r="25" spans="1:3">
      <c r="A25" s="485"/>
      <c r="B25" s="485"/>
      <c r="C25" s="486"/>
    </row>
    <row r="26" spans="1:3">
      <c r="A26" s="485"/>
      <c r="B26" s="485"/>
      <c r="C26" s="486"/>
    </row>
    <row r="27" spans="1:3">
      <c r="A27" s="485"/>
      <c r="B27" s="485"/>
      <c r="C27" s="486"/>
    </row>
    <row r="28" spans="1:3">
      <c r="A28" s="485"/>
      <c r="B28" s="485"/>
      <c r="C28" s="486"/>
    </row>
  </sheetData>
  <sheetProtection algorithmName="SHA-512" hashValue="LsnBJXmF304FiPr1vA0a5rRfeZFGbgpnlSc9fTyRIFlPev88PLUPhKsvVS+n3OoPIPMczgV6lZGm4lrL5GD64A==" saltValue="gNzDjeN2t6lPfjcwAmMMFw==" spinCount="100000" sheet="1" objects="1" scenarios="1" insertHyperlinks="0" selectLockedCells="1"/>
  <hyperlinks>
    <hyperlink ref="A1" location="'ANEXO 3'!A1" display="VOLVER AL INDICE"/>
  </hyperlinks>
  <pageMargins left="0.7" right="0.7" top="0.75" bottom="0.75" header="0.3" footer="0.3"/>
  <pageSetup paperSize="178" orientation="portrait" horizontalDpi="1200" verticalDpi="12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topLeftCell="A14" workbookViewId="0">
      <selection activeCell="B3" sqref="B3"/>
    </sheetView>
  </sheetViews>
  <sheetFormatPr baseColWidth="10" defaultRowHeight="15"/>
  <cols>
    <col min="1" max="1" width="3.42578125" bestFit="1" customWidth="1"/>
    <col min="2" max="2" width="42.85546875" customWidth="1"/>
    <col min="3" max="3" width="1" customWidth="1"/>
    <col min="6" max="6" width="11.140625" customWidth="1"/>
    <col min="9" max="9" width="11.5703125" style="389"/>
  </cols>
  <sheetData>
    <row r="1" spans="1:9">
      <c r="A1" s="462" t="s">
        <v>1182</v>
      </c>
    </row>
    <row r="2" spans="1:9">
      <c r="B2" t="s">
        <v>1184</v>
      </c>
    </row>
    <row r="3" spans="1:9">
      <c r="C3" t="s">
        <v>880</v>
      </c>
    </row>
    <row r="5" spans="1:9">
      <c r="A5" s="201" t="s">
        <v>1144</v>
      </c>
      <c r="B5" s="201" t="s">
        <v>1145</v>
      </c>
      <c r="C5" s="389" t="s">
        <v>880</v>
      </c>
      <c r="D5" s="427">
        <f>IF(SUM('1POMCAS'!E96:E98)=1,SUM('1POMCAS'!E96:E98),"ERROR: LA SUMA DE LA COLUMNA DEBE SER 100%")</f>
        <v>1</v>
      </c>
      <c r="E5" s="428" t="str">
        <f ca="1">IF(+'1POMCAS'!G96*'1POMCAS'!$E96+'1POMCAS'!G97*'1POMCAS'!$E97+'1POMCAS'!G98*'1POMCAS'!$E98=0,"N.A.",'1POMCAS'!G96*'1POMCAS'!$E96+'1POMCAS'!G97*'1POMCAS'!$E97+'1POMCAS'!G98*'1POMCAS'!$E98)</f>
        <v>N.A.</v>
      </c>
      <c r="F5" s="428">
        <f ca="1">IF(+'1POMCAS'!H96*'1POMCAS'!$E96+'1POMCAS'!H97*'1POMCAS'!$E97+'1POMCAS'!H98*'1POMCAS'!$E98=0,"N.A.",'1POMCAS'!H96*'1POMCAS'!$E96+'1POMCAS'!H97*'1POMCAS'!$E97+'1POMCAS'!H98*'1POMCAS'!$E98)</f>
        <v>0.8</v>
      </c>
      <c r="G5" s="428">
        <f ca="1">IF(+'1POMCAS'!I96*'1POMCAS'!$E96+'1POMCAS'!I97*'1POMCAS'!$E97+'1POMCAS'!I98*'1POMCAS'!$E98=0,"N.A.",'1POMCAS'!I96*'1POMCAS'!$E96+'1POMCAS'!I97*'1POMCAS'!$E97+'1POMCAS'!I98*'1POMCAS'!$E98)</f>
        <v>0.14285714285714288</v>
      </c>
      <c r="H5" s="428" t="str">
        <f ca="1">IF(+'1POMCAS'!J96*'1POMCAS'!$E96+'1POMCAS'!J97*'1POMCAS'!$E97+'1POMCAS'!J98*'1POMCAS'!$E98=0,"N.A.",'1POMCAS'!J96*'1POMCAS'!$E96+'1POMCAS'!J97*'1POMCAS'!$E97+'1POMCAS'!J98*'1POMCAS'!$E98)</f>
        <v>N.A.</v>
      </c>
      <c r="I5" s="428"/>
    </row>
    <row r="6" spans="1:9">
      <c r="A6" s="201" t="s">
        <v>1146</v>
      </c>
      <c r="B6" s="201" t="s">
        <v>131</v>
      </c>
      <c r="C6" s="389" t="s">
        <v>880</v>
      </c>
      <c r="D6" s="429"/>
      <c r="E6" s="429"/>
      <c r="F6" s="429"/>
      <c r="G6" s="429"/>
      <c r="H6" s="429"/>
      <c r="I6" s="429"/>
    </row>
    <row r="7" spans="1:9">
      <c r="A7" s="201" t="s">
        <v>1147</v>
      </c>
      <c r="B7" s="201" t="s">
        <v>162</v>
      </c>
      <c r="C7" s="389" t="s">
        <v>880</v>
      </c>
      <c r="D7" s="429"/>
      <c r="E7" s="429"/>
      <c r="F7" s="429"/>
      <c r="G7" s="429"/>
      <c r="H7" s="429"/>
      <c r="I7" s="429"/>
    </row>
    <row r="8" spans="1:9">
      <c r="A8" s="201" t="s">
        <v>1148</v>
      </c>
      <c r="B8" s="201" t="s">
        <v>183</v>
      </c>
      <c r="C8" s="389" t="s">
        <v>880</v>
      </c>
      <c r="D8" s="429"/>
      <c r="E8" s="429"/>
      <c r="F8" s="429"/>
      <c r="G8" s="429"/>
      <c r="H8" s="429"/>
      <c r="I8" s="429"/>
    </row>
    <row r="9" spans="1:9">
      <c r="A9" s="201" t="s">
        <v>1149</v>
      </c>
      <c r="B9" s="201" t="s">
        <v>200</v>
      </c>
      <c r="C9" s="389" t="s">
        <v>880</v>
      </c>
      <c r="D9" s="429"/>
      <c r="E9" s="429"/>
      <c r="F9" s="429"/>
      <c r="G9" s="429"/>
      <c r="H9" s="429"/>
      <c r="I9" s="429"/>
    </row>
    <row r="10" spans="1:9">
      <c r="A10" s="201" t="s">
        <v>1150</v>
      </c>
      <c r="B10" s="201" t="s">
        <v>220</v>
      </c>
      <c r="C10" s="389" t="s">
        <v>880</v>
      </c>
      <c r="D10" s="429"/>
      <c r="E10" s="429"/>
      <c r="F10" s="429"/>
      <c r="G10" s="429"/>
      <c r="H10" s="429"/>
      <c r="I10" s="429"/>
    </row>
    <row r="11" spans="1:9">
      <c r="A11" s="201" t="s">
        <v>1151</v>
      </c>
      <c r="B11" s="201" t="s">
        <v>280</v>
      </c>
      <c r="C11" s="389" t="s">
        <v>880</v>
      </c>
      <c r="D11" s="429"/>
      <c r="E11" s="429"/>
      <c r="F11" s="429"/>
      <c r="G11" s="429"/>
      <c r="H11" s="429"/>
      <c r="I11" s="429"/>
    </row>
    <row r="12" spans="1:9">
      <c r="A12" s="201" t="s">
        <v>1152</v>
      </c>
      <c r="B12" s="201" t="s">
        <v>314</v>
      </c>
      <c r="C12" s="389" t="s">
        <v>880</v>
      </c>
      <c r="D12" s="429"/>
      <c r="E12" s="429"/>
      <c r="F12" s="429"/>
      <c r="G12" s="429"/>
      <c r="H12" s="429"/>
      <c r="I12" s="429"/>
    </row>
    <row r="13" spans="1:9">
      <c r="A13" s="201" t="s">
        <v>1153</v>
      </c>
      <c r="B13" s="201" t="s">
        <v>348</v>
      </c>
      <c r="C13" s="389" t="s">
        <v>880</v>
      </c>
      <c r="D13" s="429"/>
      <c r="E13" s="429"/>
      <c r="F13" s="429"/>
      <c r="G13" s="429"/>
      <c r="H13" s="429"/>
      <c r="I13" s="429"/>
    </row>
    <row r="14" spans="1:9">
      <c r="A14" s="201" t="s">
        <v>1154</v>
      </c>
      <c r="B14" s="201" t="s">
        <v>396</v>
      </c>
      <c r="C14" s="389" t="s">
        <v>880</v>
      </c>
      <c r="D14" s="430"/>
      <c r="E14" s="430"/>
      <c r="F14" s="430"/>
      <c r="G14" s="430"/>
      <c r="H14" s="430"/>
      <c r="I14" s="430"/>
    </row>
    <row r="15" spans="1:9">
      <c r="A15" s="201" t="s">
        <v>1155</v>
      </c>
      <c r="B15" s="201" t="s">
        <v>418</v>
      </c>
      <c r="C15" s="389" t="s">
        <v>880</v>
      </c>
      <c r="D15" s="431">
        <f>IF(SUM('11Forest'!E26:E29)='11Forest'!E20,SUM('11Forest'!E26:E29),"ERROR: LA SUMA DE LA COLUMNA DEBE SER IGUAL A LA META ANUAL")</f>
        <v>0</v>
      </c>
      <c r="E15" s="431">
        <f>IF(SUM('11Forest'!F26:F29)='11Forest'!E20,SUM('11Forest'!F26:F29),"ERROR: LA SUMA DE LA COLUMNA DEBE SER IGUAL A LA META ANUAL")</f>
        <v>0</v>
      </c>
      <c r="F15" s="431">
        <f>IF(SUM('11Forest'!G26:G29)='11Forest'!E20,SUM('11Forest'!G26:G29),"ERROR: LA SUMA DE LA COLUMNA DEBE SER IGUAL A LA META ANUAL")</f>
        <v>0</v>
      </c>
      <c r="G15" s="431">
        <f>IF(SUM('11Forest'!H26:H29)='11Forest'!E20,SUM('11Forest'!H26:H29),"ERROR: LA SUMA DE LA COLUMNA DEBE SER IGUAL A LA META ANUAL")</f>
        <v>0</v>
      </c>
      <c r="H15" s="431"/>
      <c r="I15" s="431">
        <f>IF(SUM('11Forest'!E25:H25)='11Forest'!E20,SUM('11Forest'!E25:H25),"ERROR: LA SUMA DE LA COLUMNA DEBE SER IGUAL A LA META ANUAL")</f>
        <v>0</v>
      </c>
    </row>
    <row r="16" spans="1:9">
      <c r="A16" s="201" t="s">
        <v>1156</v>
      </c>
      <c r="B16" s="201" t="s">
        <v>449</v>
      </c>
      <c r="C16" s="389" t="s">
        <v>880</v>
      </c>
      <c r="D16" s="432"/>
      <c r="E16" s="432"/>
      <c r="F16" s="432"/>
      <c r="G16" s="432"/>
      <c r="H16" s="432"/>
      <c r="I16" s="432"/>
    </row>
    <row r="17" spans="1:9">
      <c r="A17" s="201" t="s">
        <v>1157</v>
      </c>
      <c r="B17" s="201" t="s">
        <v>480</v>
      </c>
      <c r="C17" s="389" t="s">
        <v>880</v>
      </c>
      <c r="D17" s="429"/>
      <c r="E17" s="429"/>
      <c r="F17" s="429"/>
      <c r="G17" s="429"/>
      <c r="H17" s="429"/>
      <c r="I17" s="429"/>
    </row>
    <row r="18" spans="1:9">
      <c r="A18" s="201" t="s">
        <v>1158</v>
      </c>
      <c r="B18" s="201" t="s">
        <v>526</v>
      </c>
      <c r="C18" s="389" t="s">
        <v>880</v>
      </c>
      <c r="D18" s="429"/>
      <c r="E18" s="429"/>
      <c r="F18" s="429"/>
      <c r="G18" s="429"/>
      <c r="H18" s="429"/>
      <c r="I18" s="429"/>
    </row>
    <row r="19" spans="1:9">
      <c r="A19" s="201" t="s">
        <v>1159</v>
      </c>
      <c r="B19" s="201" t="s">
        <v>557</v>
      </c>
      <c r="C19" s="389" t="s">
        <v>880</v>
      </c>
      <c r="D19" s="429"/>
      <c r="E19" s="429"/>
      <c r="F19" s="429"/>
      <c r="G19" s="429"/>
      <c r="H19" s="429"/>
      <c r="I19" s="429"/>
    </row>
    <row r="20" spans="1:9">
      <c r="A20" s="201" t="s">
        <v>1160</v>
      </c>
      <c r="B20" s="201" t="s">
        <v>585</v>
      </c>
      <c r="C20" s="389" t="s">
        <v>880</v>
      </c>
      <c r="D20" s="427" t="str">
        <f>IF(SUM('16MIZC'!H22:H29)=1,SUM('16MIZC'!H22:H29),"ERROR: LA SUMA DE LA COLUMNA DEBE SER 100%")</f>
        <v>ERROR: LA SUMA DE LA COLUMNA DEBE SER 100%</v>
      </c>
      <c r="E20" s="433">
        <f>SUM('16MIZC'!I22:I29)</f>
        <v>0</v>
      </c>
      <c r="F20" s="429"/>
      <c r="G20" s="429"/>
      <c r="H20" s="429"/>
      <c r="I20" s="429"/>
    </row>
    <row r="21" spans="1:9">
      <c r="A21" s="201" t="s">
        <v>1161</v>
      </c>
      <c r="B21" s="201" t="s">
        <v>634</v>
      </c>
      <c r="C21" s="389" t="s">
        <v>880</v>
      </c>
      <c r="D21" s="429"/>
      <c r="E21" s="429"/>
      <c r="F21" s="429"/>
      <c r="G21" s="429"/>
      <c r="H21" s="429"/>
      <c r="I21" s="429"/>
    </row>
    <row r="22" spans="1:9">
      <c r="A22" s="201" t="s">
        <v>1162</v>
      </c>
      <c r="B22" s="201" t="s">
        <v>655</v>
      </c>
      <c r="C22" s="389" t="s">
        <v>880</v>
      </c>
      <c r="D22" s="427">
        <f>IF(SUM('18Sector'!D37:D44)=1,SUM('18Sector'!D37:D44),"ERROR: LA SUMA DE LA COLUMNA DEBE SER 100%")</f>
        <v>1</v>
      </c>
      <c r="E22" s="429"/>
      <c r="F22" s="429"/>
      <c r="G22" s="429"/>
      <c r="H22" s="429"/>
      <c r="I22" s="429"/>
    </row>
    <row r="23" spans="1:9">
      <c r="A23" s="201" t="s">
        <v>1163</v>
      </c>
      <c r="B23" s="201" t="s">
        <v>702</v>
      </c>
      <c r="C23" s="389" t="s">
        <v>880</v>
      </c>
      <c r="D23" s="427" t="str">
        <f>IF(SUM('19GAU'!H23:H29)=1,SUM('19GAU'!H23:H29),"ERROR: LA SUMA DE LA COLUMNA DEBE SER 100%")</f>
        <v>ERROR: LA SUMA DE LA COLUMNA DEBE SER 100%</v>
      </c>
      <c r="E23" s="433">
        <f>SUM('19GAU'!I22:I29)</f>
        <v>0.25</v>
      </c>
      <c r="F23" s="429"/>
      <c r="G23" s="429"/>
      <c r="H23" s="429"/>
      <c r="I23" s="429"/>
    </row>
    <row r="24" spans="1:9">
      <c r="A24" s="201" t="s">
        <v>1164</v>
      </c>
      <c r="B24" s="201" t="s">
        <v>772</v>
      </c>
      <c r="C24" s="389" t="s">
        <v>880</v>
      </c>
      <c r="D24" s="427">
        <f>IF(SUM('20Negoc'!D36:D41)=1,SUM('20Negoc'!D36:D41),"ERROR: LA SUMA DE LA COLUMNA DEBE SER 100%")</f>
        <v>1</v>
      </c>
      <c r="E24" s="434">
        <f>+'20Negoc'!J30/'20Negoc'!I30</f>
        <v>0.92569999999999997</v>
      </c>
      <c r="F24" s="434">
        <f>+'20Negoc'!K30/'20Negoc'!J30</f>
        <v>0.95311656044074755</v>
      </c>
      <c r="G24" s="429"/>
      <c r="H24" s="429"/>
      <c r="I24" s="429"/>
    </row>
    <row r="25" spans="1:9">
      <c r="A25" s="201" t="s">
        <v>1165</v>
      </c>
      <c r="B25" s="201" t="s">
        <v>832</v>
      </c>
      <c r="C25" s="389" t="s">
        <v>880</v>
      </c>
      <c r="D25" s="429"/>
      <c r="E25" s="429"/>
      <c r="F25" s="429"/>
      <c r="G25" s="429"/>
      <c r="H25" s="429"/>
      <c r="I25" s="429"/>
    </row>
    <row r="26" spans="1:9">
      <c r="A26" s="201" t="s">
        <v>1166</v>
      </c>
      <c r="B26" s="201" t="s">
        <v>879</v>
      </c>
      <c r="C26" s="389" t="s">
        <v>880</v>
      </c>
      <c r="D26" s="427">
        <f>IF(SUM('22Autor'!F115:F119)=1,SUM('22Autor'!F115:F119),"ERROR: LA SUMA DE LA COLUMNA DEBE SER 100%")</f>
        <v>0.99999999999999989</v>
      </c>
      <c r="E26" s="429"/>
      <c r="F26" s="429"/>
      <c r="G26" s="429"/>
      <c r="H26" s="429"/>
      <c r="I26" s="429"/>
    </row>
    <row r="27" spans="1:9">
      <c r="A27" s="201" t="s">
        <v>1167</v>
      </c>
      <c r="B27" s="201" t="s">
        <v>943</v>
      </c>
      <c r="C27" s="389" t="s">
        <v>880</v>
      </c>
      <c r="D27" s="429"/>
      <c r="E27" s="429"/>
      <c r="F27" s="429"/>
      <c r="G27" s="429"/>
      <c r="H27" s="429"/>
      <c r="I27" s="429"/>
    </row>
    <row r="28" spans="1:9" ht="15.75" thickBot="1">
      <c r="A28" s="201" t="s">
        <v>1168</v>
      </c>
      <c r="B28" s="201" t="s">
        <v>964</v>
      </c>
      <c r="C28" s="389" t="s">
        <v>880</v>
      </c>
      <c r="D28" s="429"/>
      <c r="E28" s="429"/>
      <c r="F28" s="429"/>
      <c r="G28" s="429"/>
      <c r="H28" s="429"/>
      <c r="I28" s="429"/>
    </row>
    <row r="29" spans="1:9" ht="15.75" thickBot="1">
      <c r="A29" s="201" t="s">
        <v>1169</v>
      </c>
      <c r="B29" s="201" t="s">
        <v>993</v>
      </c>
      <c r="C29" s="389" t="s">
        <v>880</v>
      </c>
      <c r="D29" s="418" t="str">
        <f>IF(SUM('25Redes'!F79:F80)=1,"","ERROR: LA SUMA DE LAS PONDERACIONES DEBE SER 100%")</f>
        <v/>
      </c>
      <c r="E29" s="435">
        <f>+'25Redes'!E79*'25Redes'!F79+'25Redes'!E80*'25Redes'!F80</f>
        <v>0.5</v>
      </c>
      <c r="F29" s="429"/>
      <c r="G29" s="429"/>
      <c r="H29" s="429"/>
      <c r="I29" s="429"/>
    </row>
    <row r="30" spans="1:9">
      <c r="A30" s="201" t="s">
        <v>1170</v>
      </c>
      <c r="B30" s="201" t="s">
        <v>1063</v>
      </c>
      <c r="C30" s="389" t="s">
        <v>880</v>
      </c>
      <c r="D30" s="429"/>
      <c r="E30" s="429"/>
      <c r="F30" s="429"/>
      <c r="G30" s="429"/>
      <c r="H30" s="429"/>
      <c r="I30" s="429"/>
    </row>
    <row r="31" spans="1:9">
      <c r="A31" s="201" t="s">
        <v>1171</v>
      </c>
      <c r="B31" s="201" t="s">
        <v>1110</v>
      </c>
      <c r="C31" s="389" t="s">
        <v>880</v>
      </c>
      <c r="D31" s="427">
        <f>IF(SUM('27Educa'!D36:D41)=1,SUM('27Educa'!D36:D41),"ERROR: LA SUMA DE LA COLUMNA DEBE SER 100%")</f>
        <v>0.99999999999999989</v>
      </c>
      <c r="E31" s="429"/>
      <c r="F31" s="429"/>
      <c r="G31" s="429"/>
      <c r="H31" s="429"/>
      <c r="I31" s="429"/>
    </row>
    <row r="32" spans="1:9">
      <c r="C32" s="389" t="s">
        <v>880</v>
      </c>
    </row>
    <row r="33" spans="3:6">
      <c r="C33" s="389" t="s">
        <v>880</v>
      </c>
      <c r="D33" s="463" t="s">
        <v>1233</v>
      </c>
      <c r="F33" s="475" t="s">
        <v>1235</v>
      </c>
    </row>
    <row r="34" spans="3:6">
      <c r="C34" s="389" t="s">
        <v>880</v>
      </c>
      <c r="D34" s="463" t="s">
        <v>1232</v>
      </c>
      <c r="F34" s="475" t="s">
        <v>1234</v>
      </c>
    </row>
    <row r="35" spans="3:6">
      <c r="C35" s="389" t="s">
        <v>880</v>
      </c>
    </row>
    <row r="36" spans="3:6">
      <c r="C36" s="389" t="s">
        <v>880</v>
      </c>
    </row>
    <row r="37" spans="3:6">
      <c r="C37" s="389" t="s">
        <v>880</v>
      </c>
    </row>
    <row r="38" spans="3:6">
      <c r="C38" s="389" t="s">
        <v>880</v>
      </c>
    </row>
    <row r="39" spans="3:6">
      <c r="C39" s="389" t="s">
        <v>880</v>
      </c>
    </row>
    <row r="40" spans="3:6">
      <c r="C40" s="389" t="s">
        <v>880</v>
      </c>
    </row>
    <row r="41" spans="3:6">
      <c r="C41" s="389" t="s">
        <v>880</v>
      </c>
    </row>
    <row r="42" spans="3:6">
      <c r="C42" s="389" t="s">
        <v>880</v>
      </c>
    </row>
  </sheetData>
  <sheetProtection algorithmName="SHA-512" hashValue="E7iSHRO0micllmrxNii03RvnOJK5hLyQjLoWlEvyS8BhlibykYKuwLSgWDIe9bKr0rgV7o/z4gJUJvMIxFrKgw==" saltValue="GBnvGum2z3e+EKxTTYtstw==" spinCount="100000" sheet="1" objects="1" scenarios="1" insertHyperlinks="0" selectLockedCells="1" selectUnlockedCells="1"/>
  <conditionalFormatting sqref="D31">
    <cfRule type="containsText" dxfId="11" priority="12" operator="containsText" text="ERROR">
      <formula>NOT(ISERROR(SEARCH("ERROR",D31)))</formula>
    </cfRule>
  </conditionalFormatting>
  <conditionalFormatting sqref="D5">
    <cfRule type="containsText" dxfId="10" priority="11" operator="containsText" text="ERROR">
      <formula>NOT(ISERROR(SEARCH("ERROR",D5)))</formula>
    </cfRule>
  </conditionalFormatting>
  <conditionalFormatting sqref="D20">
    <cfRule type="containsText" dxfId="9" priority="10" operator="containsText" text="ERROR">
      <formula>NOT(ISERROR(SEARCH("ERROR",D20)))</formula>
    </cfRule>
  </conditionalFormatting>
  <conditionalFormatting sqref="D22">
    <cfRule type="containsText" dxfId="8" priority="9" operator="containsText" text="ERROR">
      <formula>NOT(ISERROR(SEARCH("ERROR",D22)))</formula>
    </cfRule>
  </conditionalFormatting>
  <conditionalFormatting sqref="D23">
    <cfRule type="containsText" dxfId="7" priority="8" operator="containsText" text="ERROR">
      <formula>NOT(ISERROR(SEARCH("ERROR",D23)))</formula>
    </cfRule>
  </conditionalFormatting>
  <conditionalFormatting sqref="D24">
    <cfRule type="containsText" dxfId="6" priority="7" operator="containsText" text="ERROR">
      <formula>NOT(ISERROR(SEARCH("ERROR",D24)))</formula>
    </cfRule>
  </conditionalFormatting>
  <conditionalFormatting sqref="D15">
    <cfRule type="containsText" dxfId="5" priority="6" operator="containsText" text="ERROR">
      <formula>NOT(ISERROR(SEARCH("ERROR",D15)))</formula>
    </cfRule>
  </conditionalFormatting>
  <conditionalFormatting sqref="H15">
    <cfRule type="containsText" dxfId="4" priority="4" operator="containsText" text="ERROR">
      <formula>NOT(ISERROR(SEARCH("ERROR",H15)))</formula>
    </cfRule>
  </conditionalFormatting>
  <conditionalFormatting sqref="E15:G15">
    <cfRule type="containsText" dxfId="3" priority="5" operator="containsText" text="ERROR">
      <formula>NOT(ISERROR(SEARCH("ERROR",E15)))</formula>
    </cfRule>
  </conditionalFormatting>
  <conditionalFormatting sqref="D29">
    <cfRule type="containsText" dxfId="2" priority="3" operator="containsText" text="ERROR">
      <formula>NOT(ISERROR(SEARCH("ERROR",D29)))</formula>
    </cfRule>
  </conditionalFormatting>
  <conditionalFormatting sqref="D26">
    <cfRule type="containsText" dxfId="1" priority="2" operator="containsText" text="ERROR">
      <formula>NOT(ISERROR(SEARCH("ERROR",D26)))</formula>
    </cfRule>
  </conditionalFormatting>
  <conditionalFormatting sqref="I15">
    <cfRule type="containsText" dxfId="0" priority="1" operator="containsText" text="ERROR">
      <formula>NOT(ISERROR(SEARCH("ERROR",I15)))</formula>
    </cfRule>
  </conditionalFormatting>
  <hyperlinks>
    <hyperlink ref="A1" location="'ANEXO 3'!A1" display="VOLVER AL INDICE"/>
  </hyperlinks>
  <pageMargins left="0.7" right="0.7" top="0.75" bottom="0.75" header="0.3" footer="0.3"/>
  <pageSetup paperSize="178" orientation="portrait" horizontalDpi="1200"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M219"/>
  <sheetViews>
    <sheetView topLeftCell="AI1" workbookViewId="0">
      <selection activeCell="AR8" sqref="AR8"/>
    </sheetView>
  </sheetViews>
  <sheetFormatPr baseColWidth="10" defaultRowHeight="15"/>
  <cols>
    <col min="1" max="1" width="14.85546875" style="492" customWidth="1"/>
    <col min="2" max="2" width="13.140625" style="492" customWidth="1"/>
    <col min="3" max="3" width="13.28515625" style="492" customWidth="1"/>
    <col min="4" max="4" width="13.140625" style="492" customWidth="1"/>
    <col min="5" max="7" width="9.28515625" style="492" customWidth="1"/>
    <col min="8" max="8" width="54.140625" style="1088" customWidth="1"/>
    <col min="9" max="12" width="20" style="492" customWidth="1"/>
    <col min="13" max="16" width="20.28515625" style="492" customWidth="1"/>
    <col min="17" max="20" width="18.28515625" style="492" customWidth="1"/>
    <col min="21" max="22" width="20.5703125" style="1088" customWidth="1"/>
    <col min="23" max="23" width="20.5703125" style="492" customWidth="1"/>
    <col min="24" max="24" width="20.5703125" style="1088" customWidth="1"/>
    <col min="25" max="25" width="20.28515625" style="1088" customWidth="1"/>
    <col min="26" max="26" width="25.42578125" style="1088" customWidth="1"/>
    <col min="27" max="27" width="18" style="492" customWidth="1"/>
    <col min="28" max="29" width="19.140625" style="492" customWidth="1"/>
    <col min="30" max="30" width="18" style="492" customWidth="1"/>
    <col min="31" max="32" width="20.140625" style="492" customWidth="1"/>
    <col min="33" max="34" width="18.42578125" style="492" customWidth="1"/>
    <col min="35" max="36" width="11.42578125" style="492"/>
    <col min="37" max="40" width="19" style="492" customWidth="1"/>
    <col min="41" max="60" width="19.42578125" style="492" customWidth="1"/>
    <col min="61" max="64" width="18.42578125" style="492" customWidth="1"/>
    <col min="65" max="65" width="36.42578125" style="492" customWidth="1"/>
    <col min="66" max="16384" width="11.42578125" style="492"/>
  </cols>
  <sheetData>
    <row r="1" spans="1:65" ht="28.5" customHeight="1" thickTop="1" thickBot="1">
      <c r="A1" s="1330" t="s">
        <v>1295</v>
      </c>
      <c r="B1" s="1330" t="s">
        <v>1247</v>
      </c>
      <c r="C1" s="1332" t="s">
        <v>1296</v>
      </c>
      <c r="D1" s="1330" t="s">
        <v>1248</v>
      </c>
      <c r="E1" s="1330" t="s">
        <v>1297</v>
      </c>
      <c r="F1" s="1330" t="s">
        <v>1298</v>
      </c>
      <c r="G1" s="1330" t="s">
        <v>1299</v>
      </c>
      <c r="H1" s="1332" t="s">
        <v>1311</v>
      </c>
      <c r="I1" s="1327" t="s">
        <v>2077</v>
      </c>
      <c r="J1" s="1328"/>
      <c r="K1" s="1328"/>
      <c r="L1" s="1329"/>
      <c r="M1" s="1327" t="s">
        <v>2078</v>
      </c>
      <c r="N1" s="1328"/>
      <c r="O1" s="1328"/>
      <c r="P1" s="1329"/>
      <c r="Q1" s="1327" t="s">
        <v>2079</v>
      </c>
      <c r="R1" s="1328"/>
      <c r="S1" s="1328"/>
      <c r="T1" s="1329"/>
      <c r="U1" s="1327" t="s">
        <v>2080</v>
      </c>
      <c r="V1" s="1328"/>
      <c r="W1" s="1328"/>
      <c r="X1" s="1329"/>
      <c r="Y1" s="1327" t="s">
        <v>2081</v>
      </c>
      <c r="Z1" s="1328"/>
      <c r="AA1" s="1328"/>
      <c r="AB1" s="1329"/>
      <c r="AC1" s="1327" t="s">
        <v>2082</v>
      </c>
      <c r="AD1" s="1328"/>
      <c r="AE1" s="1328"/>
      <c r="AF1" s="1329"/>
      <c r="AG1" s="1327" t="s">
        <v>2083</v>
      </c>
      <c r="AH1" s="1328"/>
      <c r="AI1" s="1328"/>
      <c r="AJ1" s="1329"/>
      <c r="AK1" s="1327" t="s">
        <v>2084</v>
      </c>
      <c r="AL1" s="1328"/>
      <c r="AM1" s="1328"/>
      <c r="AN1" s="1329"/>
      <c r="AO1" s="1327" t="s">
        <v>2088</v>
      </c>
      <c r="AP1" s="1328"/>
      <c r="AQ1" s="1328"/>
      <c r="AR1" s="1329"/>
      <c r="AS1" s="1327" t="s">
        <v>2089</v>
      </c>
      <c r="AT1" s="1328"/>
      <c r="AU1" s="1328"/>
      <c r="AV1" s="1329"/>
      <c r="AW1" s="1327" t="s">
        <v>2090</v>
      </c>
      <c r="AX1" s="1328"/>
      <c r="AY1" s="1328"/>
      <c r="AZ1" s="1329"/>
      <c r="BA1" s="1327" t="s">
        <v>1301</v>
      </c>
      <c r="BB1" s="1328"/>
      <c r="BC1" s="1328"/>
      <c r="BD1" s="1329"/>
      <c r="BE1" s="1327" t="s">
        <v>1302</v>
      </c>
      <c r="BF1" s="1328"/>
      <c r="BG1" s="1328"/>
      <c r="BH1" s="1329"/>
      <c r="BI1" s="1327" t="s">
        <v>1303</v>
      </c>
      <c r="BJ1" s="1328"/>
      <c r="BK1" s="1328"/>
      <c r="BL1" s="1329"/>
      <c r="BM1" s="505" t="s">
        <v>1304</v>
      </c>
    </row>
    <row r="2" spans="1:65" ht="35.25" thickTop="1" thickBot="1">
      <c r="A2" s="1331"/>
      <c r="B2" s="1331"/>
      <c r="C2" s="1333"/>
      <c r="D2" s="1331"/>
      <c r="E2" s="1331"/>
      <c r="F2" s="1331"/>
      <c r="G2" s="1331"/>
      <c r="H2" s="1333"/>
      <c r="I2" s="506" t="s">
        <v>1305</v>
      </c>
      <c r="J2" s="623" t="s">
        <v>1306</v>
      </c>
      <c r="K2" s="623" t="s">
        <v>1307</v>
      </c>
      <c r="L2" s="623" t="s">
        <v>1308</v>
      </c>
      <c r="M2" s="506" t="s">
        <v>1305</v>
      </c>
      <c r="N2" s="623" t="s">
        <v>1306</v>
      </c>
      <c r="O2" s="623" t="s">
        <v>1307</v>
      </c>
      <c r="P2" s="623" t="s">
        <v>1308</v>
      </c>
      <c r="Q2" s="506" t="s">
        <v>1305</v>
      </c>
      <c r="R2" s="623" t="s">
        <v>1306</v>
      </c>
      <c r="S2" s="623" t="s">
        <v>1307</v>
      </c>
      <c r="T2" s="623" t="s">
        <v>1308</v>
      </c>
      <c r="U2" s="506" t="s">
        <v>1305</v>
      </c>
      <c r="V2" s="623" t="s">
        <v>1306</v>
      </c>
      <c r="W2" s="623" t="s">
        <v>1307</v>
      </c>
      <c r="X2" s="623" t="s">
        <v>1308</v>
      </c>
      <c r="Y2" s="506" t="s">
        <v>1305</v>
      </c>
      <c r="Z2" s="623" t="s">
        <v>1306</v>
      </c>
      <c r="AA2" s="623" t="s">
        <v>1307</v>
      </c>
      <c r="AB2" s="623" t="s">
        <v>1308</v>
      </c>
      <c r="AC2" s="506" t="s">
        <v>1305</v>
      </c>
      <c r="AD2" s="623" t="s">
        <v>1306</v>
      </c>
      <c r="AE2" s="623" t="s">
        <v>1307</v>
      </c>
      <c r="AF2" s="623" t="s">
        <v>1308</v>
      </c>
      <c r="AG2" s="506" t="s">
        <v>1305</v>
      </c>
      <c r="AH2" s="623" t="s">
        <v>1306</v>
      </c>
      <c r="AI2" s="623" t="s">
        <v>1307</v>
      </c>
      <c r="AJ2" s="623" t="s">
        <v>1308</v>
      </c>
      <c r="AK2" s="506" t="s">
        <v>1305</v>
      </c>
      <c r="AL2" s="623" t="s">
        <v>1306</v>
      </c>
      <c r="AM2" s="623" t="s">
        <v>1307</v>
      </c>
      <c r="AN2" s="623" t="s">
        <v>1308</v>
      </c>
      <c r="AO2" s="506" t="s">
        <v>1305</v>
      </c>
      <c r="AP2" s="623" t="s">
        <v>1306</v>
      </c>
      <c r="AQ2" s="623" t="s">
        <v>1307</v>
      </c>
      <c r="AR2" s="623" t="s">
        <v>1308</v>
      </c>
      <c r="AS2" s="506" t="s">
        <v>1305</v>
      </c>
      <c r="AT2" s="623" t="s">
        <v>1306</v>
      </c>
      <c r="AU2" s="623" t="s">
        <v>1307</v>
      </c>
      <c r="AV2" s="623" t="s">
        <v>1308</v>
      </c>
      <c r="AW2" s="506" t="s">
        <v>1305</v>
      </c>
      <c r="AX2" s="623" t="s">
        <v>1306</v>
      </c>
      <c r="AY2" s="623" t="s">
        <v>1307</v>
      </c>
      <c r="AZ2" s="623" t="s">
        <v>1308</v>
      </c>
      <c r="BA2" s="506" t="s">
        <v>1305</v>
      </c>
      <c r="BB2" s="623" t="s">
        <v>1306</v>
      </c>
      <c r="BC2" s="623" t="s">
        <v>1307</v>
      </c>
      <c r="BD2" s="623" t="s">
        <v>1308</v>
      </c>
      <c r="BE2" s="506" t="s">
        <v>1305</v>
      </c>
      <c r="BF2" s="623" t="s">
        <v>1306</v>
      </c>
      <c r="BG2" s="623" t="s">
        <v>1307</v>
      </c>
      <c r="BH2" s="623" t="s">
        <v>1308</v>
      </c>
      <c r="BI2" s="623" t="s">
        <v>1305</v>
      </c>
      <c r="BJ2" s="623" t="s">
        <v>1306</v>
      </c>
      <c r="BK2" s="623" t="s">
        <v>1307</v>
      </c>
      <c r="BL2" s="623" t="s">
        <v>1309</v>
      </c>
      <c r="BM2" s="623"/>
    </row>
    <row r="3" spans="1:65" s="1053" customFormat="1" ht="16.5" thickTop="1" thickBot="1">
      <c r="A3" s="507">
        <v>2</v>
      </c>
      <c r="B3" s="507" t="s">
        <v>1300</v>
      </c>
      <c r="C3" s="507"/>
      <c r="D3" s="507"/>
      <c r="E3" s="507"/>
      <c r="F3" s="507"/>
      <c r="G3" s="507"/>
      <c r="H3" s="1050" t="s">
        <v>1310</v>
      </c>
      <c r="I3" s="1051">
        <f>+I4+I62+I120+I135+I154</f>
        <v>0</v>
      </c>
      <c r="J3" s="1051">
        <f t="shared" ref="J3:AL3" si="0">+J4+J62+J120+J135+J154</f>
        <v>0</v>
      </c>
      <c r="K3" s="1051">
        <f t="shared" si="0"/>
        <v>0</v>
      </c>
      <c r="L3" s="1051">
        <f t="shared" si="0"/>
        <v>0</v>
      </c>
      <c r="M3" s="1051">
        <f t="shared" si="0"/>
        <v>0</v>
      </c>
      <c r="N3" s="1051">
        <f t="shared" si="0"/>
        <v>0</v>
      </c>
      <c r="O3" s="1051">
        <f t="shared" si="0"/>
        <v>0</v>
      </c>
      <c r="P3" s="1051">
        <f t="shared" si="0"/>
        <v>0</v>
      </c>
      <c r="Q3" s="1051">
        <f t="shared" si="0"/>
        <v>0</v>
      </c>
      <c r="R3" s="1051">
        <f t="shared" si="0"/>
        <v>0</v>
      </c>
      <c r="S3" s="1051">
        <f t="shared" si="0"/>
        <v>0</v>
      </c>
      <c r="T3" s="1051">
        <f t="shared" si="0"/>
        <v>0</v>
      </c>
      <c r="U3" s="1051">
        <f t="shared" si="0"/>
        <v>0</v>
      </c>
      <c r="V3" s="1051">
        <f t="shared" si="0"/>
        <v>0</v>
      </c>
      <c r="W3" s="1051">
        <f t="shared" si="0"/>
        <v>0</v>
      </c>
      <c r="X3" s="1051">
        <f t="shared" si="0"/>
        <v>0</v>
      </c>
      <c r="Y3" s="1051">
        <f t="shared" si="0"/>
        <v>0</v>
      </c>
      <c r="Z3" s="1051">
        <f t="shared" si="0"/>
        <v>0</v>
      </c>
      <c r="AA3" s="1051">
        <f t="shared" si="0"/>
        <v>0</v>
      </c>
      <c r="AB3" s="1051">
        <f t="shared" si="0"/>
        <v>0</v>
      </c>
      <c r="AC3" s="1051">
        <f t="shared" si="0"/>
        <v>0</v>
      </c>
      <c r="AD3" s="1051">
        <f t="shared" si="0"/>
        <v>0</v>
      </c>
      <c r="AE3" s="1051">
        <f t="shared" si="0"/>
        <v>0</v>
      </c>
      <c r="AF3" s="1051">
        <f t="shared" si="0"/>
        <v>0</v>
      </c>
      <c r="AG3" s="1051">
        <f t="shared" si="0"/>
        <v>0</v>
      </c>
      <c r="AH3" s="1051">
        <f t="shared" si="0"/>
        <v>0</v>
      </c>
      <c r="AI3" s="1051">
        <f t="shared" si="0"/>
        <v>0</v>
      </c>
      <c r="AJ3" s="1051">
        <f t="shared" si="0"/>
        <v>0</v>
      </c>
      <c r="AK3" s="1051">
        <f t="shared" si="0"/>
        <v>0</v>
      </c>
      <c r="AL3" s="1051">
        <f t="shared" si="0"/>
        <v>0</v>
      </c>
      <c r="AM3" s="1051">
        <f t="shared" ref="AM3" si="1">+AM4+AM62+AM120+AM135+AM154</f>
        <v>0</v>
      </c>
      <c r="AN3" s="1051">
        <f t="shared" ref="AN3" si="2">+AN4+AN62+AN120+AN135+AN154</f>
        <v>0</v>
      </c>
      <c r="AO3" s="1051">
        <f t="shared" ref="AO3" si="3">+AO4+AO62+AO120+AO135+AO154</f>
        <v>0</v>
      </c>
      <c r="AP3" s="1051">
        <f t="shared" ref="AP3" si="4">+AP4+AP62+AP120+AP135+AP154</f>
        <v>0</v>
      </c>
      <c r="AQ3" s="1051">
        <f t="shared" ref="AQ3" si="5">+AQ4+AQ62+AQ120+AQ135+AQ154</f>
        <v>0</v>
      </c>
      <c r="AR3" s="1051">
        <f t="shared" ref="AR3" si="6">+AR4+AR62+AR120+AR135+AR154</f>
        <v>0</v>
      </c>
      <c r="AS3" s="1051">
        <f t="shared" ref="AS3" si="7">+AS4+AS62+AS120+AS135+AS154</f>
        <v>0</v>
      </c>
      <c r="AT3" s="1051">
        <f t="shared" ref="AT3" si="8">+AT4+AT62+AT120+AT135+AT154</f>
        <v>0</v>
      </c>
      <c r="AU3" s="1051">
        <f t="shared" ref="AU3" si="9">+AU4+AU62+AU120+AU135+AU154</f>
        <v>0</v>
      </c>
      <c r="AV3" s="1051">
        <f t="shared" ref="AV3" si="10">+AV4+AV62+AV120+AV135+AV154</f>
        <v>0</v>
      </c>
      <c r="AW3" s="1051">
        <f t="shared" ref="AW3" si="11">+AW4+AW62+AW120+AW135+AW154</f>
        <v>0</v>
      </c>
      <c r="AX3" s="1051">
        <f t="shared" ref="AX3" si="12">+AX4+AX62+AX120+AX135+AX154</f>
        <v>0</v>
      </c>
      <c r="AY3" s="1051">
        <f t="shared" ref="AY3" si="13">+AY4+AY62+AY120+AY135+AY154</f>
        <v>0</v>
      </c>
      <c r="AZ3" s="1051">
        <f t="shared" ref="AZ3" si="14">+AZ4+AZ62+AZ120+AZ135+AZ154</f>
        <v>0</v>
      </c>
      <c r="BA3" s="1051">
        <f t="shared" ref="BA3" si="15">+BA4+BA62+BA120+BA135+BA154</f>
        <v>0</v>
      </c>
      <c r="BB3" s="1051">
        <f t="shared" ref="BB3" si="16">+BB4+BB62+BB120+BB135+BB154</f>
        <v>0</v>
      </c>
      <c r="BC3" s="1051">
        <f t="shared" ref="BC3" si="17">+BC4+BC62+BC120+BC135+BC154</f>
        <v>0</v>
      </c>
      <c r="BD3" s="1051">
        <f t="shared" ref="BD3" si="18">+BD4+BD62+BD120+BD135+BD154</f>
        <v>0</v>
      </c>
      <c r="BE3" s="1051">
        <f t="shared" ref="BE3" si="19">+BE4+BE62+BE120+BE135+BE154</f>
        <v>0</v>
      </c>
      <c r="BF3" s="1051">
        <f t="shared" ref="BF3" si="20">+BF4+BF62+BF120+BF135+BF154</f>
        <v>0</v>
      </c>
      <c r="BG3" s="1051">
        <f t="shared" ref="BG3" si="21">+BG4+BG62+BG120+BG135+BG154</f>
        <v>0</v>
      </c>
      <c r="BH3" s="1051">
        <f t="shared" ref="BH3" si="22">+BH4+BH62+BH120+BH135+BH154</f>
        <v>0</v>
      </c>
      <c r="BI3" s="1052">
        <f>+I3+M3+Q3+U3+Y3+AC3+AG3+AK3+AO3+AS3+AW3+BA3+BE3</f>
        <v>0</v>
      </c>
      <c r="BJ3" s="1052">
        <f t="shared" ref="BJ3:BL3" si="23">+J3+N3+R3+V3+Z3+AD3+AH3+AL3+AP3+AT3+AX3+BB3+BF3</f>
        <v>0</v>
      </c>
      <c r="BK3" s="1052">
        <f t="shared" si="23"/>
        <v>0</v>
      </c>
      <c r="BL3" s="1052">
        <f t="shared" si="23"/>
        <v>0</v>
      </c>
      <c r="BM3" s="1070"/>
    </row>
    <row r="4" spans="1:65" ht="16.5" thickTop="1" thickBot="1">
      <c r="A4" s="1054"/>
      <c r="B4" s="1055"/>
      <c r="C4" s="1055"/>
      <c r="D4" s="1055"/>
      <c r="E4" s="1054"/>
      <c r="F4" s="1054"/>
      <c r="G4" s="1054"/>
      <c r="H4" s="1056" t="str">
        <f>+'Anexo 1 Matriz Inf Gestión-GD'!A8</f>
        <v>LINEA ESTRATEGICA 4. GESTIÓN PARA LA PRODUCCIÓN SOSTENIBLE</v>
      </c>
      <c r="I4" s="1057">
        <f>+I5+I48</f>
        <v>0</v>
      </c>
      <c r="J4" s="1057">
        <f t="shared" ref="J4:AL4" si="24">+J5+J48</f>
        <v>0</v>
      </c>
      <c r="K4" s="1057">
        <f t="shared" si="24"/>
        <v>0</v>
      </c>
      <c r="L4" s="1057">
        <f t="shared" si="24"/>
        <v>0</v>
      </c>
      <c r="M4" s="1057">
        <f t="shared" si="24"/>
        <v>0</v>
      </c>
      <c r="N4" s="1057">
        <f t="shared" si="24"/>
        <v>0</v>
      </c>
      <c r="O4" s="1057">
        <f t="shared" si="24"/>
        <v>0</v>
      </c>
      <c r="P4" s="1057">
        <f t="shared" si="24"/>
        <v>0</v>
      </c>
      <c r="Q4" s="1057">
        <f t="shared" si="24"/>
        <v>0</v>
      </c>
      <c r="R4" s="1057">
        <f t="shared" si="24"/>
        <v>0</v>
      </c>
      <c r="S4" s="1057">
        <f t="shared" si="24"/>
        <v>0</v>
      </c>
      <c r="T4" s="1057">
        <f t="shared" si="24"/>
        <v>0</v>
      </c>
      <c r="U4" s="1057">
        <f t="shared" si="24"/>
        <v>0</v>
      </c>
      <c r="V4" s="1057">
        <f t="shared" si="24"/>
        <v>0</v>
      </c>
      <c r="W4" s="1057">
        <f t="shared" si="24"/>
        <v>0</v>
      </c>
      <c r="X4" s="1057">
        <f t="shared" si="24"/>
        <v>0</v>
      </c>
      <c r="Y4" s="1057">
        <f t="shared" si="24"/>
        <v>0</v>
      </c>
      <c r="Z4" s="1057">
        <f t="shared" si="24"/>
        <v>0</v>
      </c>
      <c r="AA4" s="1057">
        <f t="shared" si="24"/>
        <v>0</v>
      </c>
      <c r="AB4" s="1057">
        <f t="shared" si="24"/>
        <v>0</v>
      </c>
      <c r="AC4" s="1057">
        <f t="shared" si="24"/>
        <v>0</v>
      </c>
      <c r="AD4" s="1057">
        <f t="shared" si="24"/>
        <v>0</v>
      </c>
      <c r="AE4" s="1057">
        <f t="shared" si="24"/>
        <v>0</v>
      </c>
      <c r="AF4" s="1057">
        <f t="shared" si="24"/>
        <v>0</v>
      </c>
      <c r="AG4" s="1057">
        <f t="shared" si="24"/>
        <v>0</v>
      </c>
      <c r="AH4" s="1057">
        <f t="shared" si="24"/>
        <v>0</v>
      </c>
      <c r="AI4" s="1057">
        <f t="shared" si="24"/>
        <v>0</v>
      </c>
      <c r="AJ4" s="1057">
        <f t="shared" si="24"/>
        <v>0</v>
      </c>
      <c r="AK4" s="1057">
        <f t="shared" si="24"/>
        <v>0</v>
      </c>
      <c r="AL4" s="1057">
        <f t="shared" si="24"/>
        <v>0</v>
      </c>
      <c r="AM4" s="1057">
        <f t="shared" ref="AM4" si="25">+AM5+AM48</f>
        <v>0</v>
      </c>
      <c r="AN4" s="1057">
        <f t="shared" ref="AN4" si="26">+AN5+AN48</f>
        <v>0</v>
      </c>
      <c r="AO4" s="1057">
        <f t="shared" ref="AO4" si="27">+AO5+AO48</f>
        <v>0</v>
      </c>
      <c r="AP4" s="1057">
        <f t="shared" ref="AP4" si="28">+AP5+AP48</f>
        <v>0</v>
      </c>
      <c r="AQ4" s="1057">
        <f t="shared" ref="AQ4" si="29">+AQ5+AQ48</f>
        <v>0</v>
      </c>
      <c r="AR4" s="1057">
        <f t="shared" ref="AR4" si="30">+AR5+AR48</f>
        <v>0</v>
      </c>
      <c r="AS4" s="1057">
        <f t="shared" ref="AS4" si="31">+AS5+AS48</f>
        <v>0</v>
      </c>
      <c r="AT4" s="1057">
        <f t="shared" ref="AT4" si="32">+AT5+AT48</f>
        <v>0</v>
      </c>
      <c r="AU4" s="1057">
        <f t="shared" ref="AU4" si="33">+AU5+AU48</f>
        <v>0</v>
      </c>
      <c r="AV4" s="1057">
        <f t="shared" ref="AV4" si="34">+AV5+AV48</f>
        <v>0</v>
      </c>
      <c r="AW4" s="1057">
        <f t="shared" ref="AW4" si="35">+AW5+AW48</f>
        <v>0</v>
      </c>
      <c r="AX4" s="1057">
        <f t="shared" ref="AX4" si="36">+AX5+AX48</f>
        <v>0</v>
      </c>
      <c r="AY4" s="1057">
        <f t="shared" ref="AY4" si="37">+AY5+AY48</f>
        <v>0</v>
      </c>
      <c r="AZ4" s="1057">
        <f t="shared" ref="AZ4" si="38">+AZ5+AZ48</f>
        <v>0</v>
      </c>
      <c r="BA4" s="1057">
        <f t="shared" ref="BA4" si="39">+BA5+BA48</f>
        <v>0</v>
      </c>
      <c r="BB4" s="1057">
        <f t="shared" ref="BB4" si="40">+BB5+BB48</f>
        <v>0</v>
      </c>
      <c r="BC4" s="1057">
        <f t="shared" ref="BC4" si="41">+BC5+BC48</f>
        <v>0</v>
      </c>
      <c r="BD4" s="1057">
        <f t="shared" ref="BD4" si="42">+BD5+BD48</f>
        <v>0</v>
      </c>
      <c r="BE4" s="1057">
        <f t="shared" ref="BE4" si="43">+BE5+BE48</f>
        <v>0</v>
      </c>
      <c r="BF4" s="1057">
        <f t="shared" ref="BF4" si="44">+BF5+BF48</f>
        <v>0</v>
      </c>
      <c r="BG4" s="1057">
        <f t="shared" ref="BG4" si="45">+BG5+BG48</f>
        <v>0</v>
      </c>
      <c r="BH4" s="1057">
        <f t="shared" ref="BH4" si="46">+BH5+BH48</f>
        <v>0</v>
      </c>
      <c r="BI4" s="1058">
        <f t="shared" ref="BI4:BI67" si="47">+I4+M4+Q4+U4+Y4+AC4+AG4+AK4+AO4+AS4+AW4+BA4+BE4</f>
        <v>0</v>
      </c>
      <c r="BJ4" s="1058">
        <f t="shared" ref="BJ4:BJ67" si="48">+J4+N4+R4+V4+Z4+AD4+AH4+AL4+AP4+AT4+AX4+BB4+BF4</f>
        <v>0</v>
      </c>
      <c r="BK4" s="1058">
        <f t="shared" ref="BK4:BK67" si="49">+K4+O4+S4+W4+AA4+AE4+AI4+AM4+AQ4+AU4+AY4+BC4+BG4</f>
        <v>0</v>
      </c>
      <c r="BL4" s="1058">
        <f t="shared" ref="BL4:BL67" si="50">+L4+P4+T4+X4+AB4+AF4+AJ4+AN4+AR4+AV4+AZ4+BD4+BH4</f>
        <v>0</v>
      </c>
      <c r="BM4" s="1059"/>
    </row>
    <row r="5" spans="1:65" ht="28.5" thickTop="1" thickBot="1">
      <c r="A5" s="1060"/>
      <c r="B5" s="1061"/>
      <c r="C5" s="1061"/>
      <c r="D5" s="1061"/>
      <c r="E5" s="1060"/>
      <c r="F5" s="1060"/>
      <c r="G5" s="1060"/>
      <c r="H5" s="1062" t="str">
        <f>+'Anexo 1 Matriz Inf Gestión-GD'!A9</f>
        <v>PROGRAMA 3201. FORTALECIMIENTO DEL DESEMPEÑO AMBIENTAL DE LOS SECTORES PRODUCTIVOS</v>
      </c>
      <c r="I5" s="1063">
        <f>+I6+I14+I18+I26+I32+I38</f>
        <v>0</v>
      </c>
      <c r="J5" s="1063">
        <f t="shared" ref="J5:AL5" si="51">+J6+J14+J18+J26+J32+J38</f>
        <v>0</v>
      </c>
      <c r="K5" s="1063">
        <f t="shared" si="51"/>
        <v>0</v>
      </c>
      <c r="L5" s="1063">
        <f t="shared" si="51"/>
        <v>0</v>
      </c>
      <c r="M5" s="1063">
        <f t="shared" si="51"/>
        <v>0</v>
      </c>
      <c r="N5" s="1063">
        <f t="shared" si="51"/>
        <v>0</v>
      </c>
      <c r="O5" s="1063">
        <f t="shared" si="51"/>
        <v>0</v>
      </c>
      <c r="P5" s="1063">
        <f t="shared" si="51"/>
        <v>0</v>
      </c>
      <c r="Q5" s="1063">
        <f t="shared" si="51"/>
        <v>0</v>
      </c>
      <c r="R5" s="1063">
        <f t="shared" si="51"/>
        <v>0</v>
      </c>
      <c r="S5" s="1063">
        <f t="shared" si="51"/>
        <v>0</v>
      </c>
      <c r="T5" s="1063">
        <f t="shared" si="51"/>
        <v>0</v>
      </c>
      <c r="U5" s="1063">
        <f t="shared" si="51"/>
        <v>0</v>
      </c>
      <c r="V5" s="1063">
        <f t="shared" si="51"/>
        <v>0</v>
      </c>
      <c r="W5" s="1063">
        <f t="shared" si="51"/>
        <v>0</v>
      </c>
      <c r="X5" s="1063">
        <f t="shared" si="51"/>
        <v>0</v>
      </c>
      <c r="Y5" s="1063">
        <f t="shared" si="51"/>
        <v>0</v>
      </c>
      <c r="Z5" s="1063">
        <f t="shared" si="51"/>
        <v>0</v>
      </c>
      <c r="AA5" s="1063">
        <f t="shared" si="51"/>
        <v>0</v>
      </c>
      <c r="AB5" s="1063">
        <f t="shared" si="51"/>
        <v>0</v>
      </c>
      <c r="AC5" s="1063">
        <f t="shared" si="51"/>
        <v>0</v>
      </c>
      <c r="AD5" s="1063">
        <f t="shared" si="51"/>
        <v>0</v>
      </c>
      <c r="AE5" s="1063">
        <f t="shared" si="51"/>
        <v>0</v>
      </c>
      <c r="AF5" s="1063">
        <f t="shared" si="51"/>
        <v>0</v>
      </c>
      <c r="AG5" s="1063">
        <f t="shared" si="51"/>
        <v>0</v>
      </c>
      <c r="AH5" s="1063">
        <f t="shared" si="51"/>
        <v>0</v>
      </c>
      <c r="AI5" s="1063">
        <f t="shared" si="51"/>
        <v>0</v>
      </c>
      <c r="AJ5" s="1063">
        <f t="shared" si="51"/>
        <v>0</v>
      </c>
      <c r="AK5" s="1063">
        <f t="shared" si="51"/>
        <v>0</v>
      </c>
      <c r="AL5" s="1063">
        <f t="shared" si="51"/>
        <v>0</v>
      </c>
      <c r="AM5" s="1063">
        <f t="shared" ref="AM5" si="52">+AM6+AM14+AM18+AM26+AM32+AM38</f>
        <v>0</v>
      </c>
      <c r="AN5" s="1063">
        <f t="shared" ref="AN5" si="53">+AN6+AN14+AN18+AN26+AN32+AN38</f>
        <v>0</v>
      </c>
      <c r="AO5" s="1063">
        <f t="shared" ref="AO5" si="54">+AO6+AO14+AO18+AO26+AO32+AO38</f>
        <v>0</v>
      </c>
      <c r="AP5" s="1063">
        <f t="shared" ref="AP5" si="55">+AP6+AP14+AP18+AP26+AP32+AP38</f>
        <v>0</v>
      </c>
      <c r="AQ5" s="1063">
        <f t="shared" ref="AQ5" si="56">+AQ6+AQ14+AQ18+AQ26+AQ32+AQ38</f>
        <v>0</v>
      </c>
      <c r="AR5" s="1063">
        <f t="shared" ref="AR5" si="57">+AR6+AR14+AR18+AR26+AR32+AR38</f>
        <v>0</v>
      </c>
      <c r="AS5" s="1063">
        <f t="shared" ref="AS5" si="58">+AS6+AS14+AS18+AS26+AS32+AS38</f>
        <v>0</v>
      </c>
      <c r="AT5" s="1063">
        <f t="shared" ref="AT5" si="59">+AT6+AT14+AT18+AT26+AT32+AT38</f>
        <v>0</v>
      </c>
      <c r="AU5" s="1063">
        <f t="shared" ref="AU5" si="60">+AU6+AU14+AU18+AU26+AU32+AU38</f>
        <v>0</v>
      </c>
      <c r="AV5" s="1063">
        <f t="shared" ref="AV5" si="61">+AV6+AV14+AV18+AV26+AV32+AV38</f>
        <v>0</v>
      </c>
      <c r="AW5" s="1063">
        <f t="shared" ref="AW5" si="62">+AW6+AW14+AW18+AW26+AW32+AW38</f>
        <v>0</v>
      </c>
      <c r="AX5" s="1063">
        <f t="shared" ref="AX5" si="63">+AX6+AX14+AX18+AX26+AX32+AX38</f>
        <v>0</v>
      </c>
      <c r="AY5" s="1063">
        <f t="shared" ref="AY5" si="64">+AY6+AY14+AY18+AY26+AY32+AY38</f>
        <v>0</v>
      </c>
      <c r="AZ5" s="1063">
        <f t="shared" ref="AZ5" si="65">+AZ6+AZ14+AZ18+AZ26+AZ32+AZ38</f>
        <v>0</v>
      </c>
      <c r="BA5" s="1063">
        <f t="shared" ref="BA5" si="66">+BA6+BA14+BA18+BA26+BA32+BA38</f>
        <v>0</v>
      </c>
      <c r="BB5" s="1063">
        <f t="shared" ref="BB5" si="67">+BB6+BB14+BB18+BB26+BB32+BB38</f>
        <v>0</v>
      </c>
      <c r="BC5" s="1063">
        <f t="shared" ref="BC5" si="68">+BC6+BC14+BC18+BC26+BC32+BC38</f>
        <v>0</v>
      </c>
      <c r="BD5" s="1063">
        <f t="shared" ref="BD5" si="69">+BD6+BD14+BD18+BD26+BD32+BD38</f>
        <v>0</v>
      </c>
      <c r="BE5" s="1063">
        <f t="shared" ref="BE5" si="70">+BE6+BE14+BE18+BE26+BE32+BE38</f>
        <v>0</v>
      </c>
      <c r="BF5" s="1063">
        <f t="shared" ref="BF5" si="71">+BF6+BF14+BF18+BF26+BF32+BF38</f>
        <v>0</v>
      </c>
      <c r="BG5" s="1063">
        <f t="shared" ref="BG5" si="72">+BG6+BG14+BG18+BG26+BG32+BG38</f>
        <v>0</v>
      </c>
      <c r="BH5" s="1063">
        <f t="shared" ref="BH5" si="73">+BH6+BH14+BH18+BH26+BH32+BH38</f>
        <v>0</v>
      </c>
      <c r="BI5" s="1064">
        <f t="shared" si="47"/>
        <v>0</v>
      </c>
      <c r="BJ5" s="1064">
        <f t="shared" si="48"/>
        <v>0</v>
      </c>
      <c r="BK5" s="1064">
        <f t="shared" si="49"/>
        <v>0</v>
      </c>
      <c r="BL5" s="1064">
        <f t="shared" si="50"/>
        <v>0</v>
      </c>
      <c r="BM5" s="1065"/>
    </row>
    <row r="6" spans="1:65" ht="39.75" thickTop="1" thickBot="1">
      <c r="A6" s="1066"/>
      <c r="B6" s="1066"/>
      <c r="C6" s="1066"/>
      <c r="D6" s="1066"/>
      <c r="E6" s="1066"/>
      <c r="F6" s="1066"/>
      <c r="G6" s="1066"/>
      <c r="H6" s="1067" t="str">
        <f>+'Anexo 1 Matriz Inf Gestión-GD'!A10</f>
        <v>Proyecto 3201.01 Gestión e implementación de estrategias para la recuperación y conservación de la flora y fauna en el Departamento del Cesar, en armonía con el proyecto 3202.02</v>
      </c>
      <c r="I6" s="1068">
        <f>SUM(I7:I13)</f>
        <v>0</v>
      </c>
      <c r="J6" s="1068">
        <f t="shared" ref="J6:AL6" si="74">SUM(J7:J13)</f>
        <v>0</v>
      </c>
      <c r="K6" s="1068">
        <f t="shared" si="74"/>
        <v>0</v>
      </c>
      <c r="L6" s="1068">
        <f t="shared" si="74"/>
        <v>0</v>
      </c>
      <c r="M6" s="1068">
        <f t="shared" si="74"/>
        <v>0</v>
      </c>
      <c r="N6" s="1068">
        <f t="shared" si="74"/>
        <v>0</v>
      </c>
      <c r="O6" s="1068">
        <f t="shared" si="74"/>
        <v>0</v>
      </c>
      <c r="P6" s="1068">
        <f t="shared" si="74"/>
        <v>0</v>
      </c>
      <c r="Q6" s="1068">
        <f t="shared" si="74"/>
        <v>0</v>
      </c>
      <c r="R6" s="1068">
        <f t="shared" si="74"/>
        <v>0</v>
      </c>
      <c r="S6" s="1068">
        <f t="shared" si="74"/>
        <v>0</v>
      </c>
      <c r="T6" s="1068">
        <f t="shared" si="74"/>
        <v>0</v>
      </c>
      <c r="U6" s="1068">
        <f t="shared" si="74"/>
        <v>0</v>
      </c>
      <c r="V6" s="1068">
        <f t="shared" si="74"/>
        <v>0</v>
      </c>
      <c r="W6" s="1068">
        <f t="shared" si="74"/>
        <v>0</v>
      </c>
      <c r="X6" s="1068">
        <f t="shared" si="74"/>
        <v>0</v>
      </c>
      <c r="Y6" s="1068">
        <f t="shared" si="74"/>
        <v>0</v>
      </c>
      <c r="Z6" s="1068">
        <f t="shared" si="74"/>
        <v>0</v>
      </c>
      <c r="AA6" s="1068">
        <f t="shared" si="74"/>
        <v>0</v>
      </c>
      <c r="AB6" s="1068">
        <f t="shared" si="74"/>
        <v>0</v>
      </c>
      <c r="AC6" s="1068">
        <f t="shared" si="74"/>
        <v>0</v>
      </c>
      <c r="AD6" s="1068">
        <f t="shared" si="74"/>
        <v>0</v>
      </c>
      <c r="AE6" s="1068">
        <f t="shared" si="74"/>
        <v>0</v>
      </c>
      <c r="AF6" s="1068">
        <f t="shared" si="74"/>
        <v>0</v>
      </c>
      <c r="AG6" s="1068">
        <f t="shared" si="74"/>
        <v>0</v>
      </c>
      <c r="AH6" s="1068">
        <f t="shared" si="74"/>
        <v>0</v>
      </c>
      <c r="AI6" s="1068">
        <f t="shared" si="74"/>
        <v>0</v>
      </c>
      <c r="AJ6" s="1068">
        <f t="shared" si="74"/>
        <v>0</v>
      </c>
      <c r="AK6" s="1068">
        <f t="shared" si="74"/>
        <v>0</v>
      </c>
      <c r="AL6" s="1068">
        <f t="shared" si="74"/>
        <v>0</v>
      </c>
      <c r="AM6" s="1068">
        <f t="shared" ref="AM6" si="75">SUM(AM7:AM13)</f>
        <v>0</v>
      </c>
      <c r="AN6" s="1068">
        <f t="shared" ref="AN6" si="76">SUM(AN7:AN13)</f>
        <v>0</v>
      </c>
      <c r="AO6" s="1068">
        <f t="shared" ref="AO6" si="77">SUM(AO7:AO13)</f>
        <v>0</v>
      </c>
      <c r="AP6" s="1068">
        <f t="shared" ref="AP6" si="78">SUM(AP7:AP13)</f>
        <v>0</v>
      </c>
      <c r="AQ6" s="1068">
        <f t="shared" ref="AQ6" si="79">SUM(AQ7:AQ13)</f>
        <v>0</v>
      </c>
      <c r="AR6" s="1068">
        <f t="shared" ref="AR6" si="80">SUM(AR7:AR13)</f>
        <v>0</v>
      </c>
      <c r="AS6" s="1068">
        <f t="shared" ref="AS6" si="81">SUM(AS7:AS13)</f>
        <v>0</v>
      </c>
      <c r="AT6" s="1068">
        <f t="shared" ref="AT6" si="82">SUM(AT7:AT13)</f>
        <v>0</v>
      </c>
      <c r="AU6" s="1068">
        <f t="shared" ref="AU6" si="83">SUM(AU7:AU13)</f>
        <v>0</v>
      </c>
      <c r="AV6" s="1068">
        <f t="shared" ref="AV6" si="84">SUM(AV7:AV13)</f>
        <v>0</v>
      </c>
      <c r="AW6" s="1068">
        <f t="shared" ref="AW6" si="85">SUM(AW7:AW13)</f>
        <v>0</v>
      </c>
      <c r="AX6" s="1068">
        <f t="shared" ref="AX6" si="86">SUM(AX7:AX13)</f>
        <v>0</v>
      </c>
      <c r="AY6" s="1068">
        <f t="shared" ref="AY6" si="87">SUM(AY7:AY13)</f>
        <v>0</v>
      </c>
      <c r="AZ6" s="1068">
        <f t="shared" ref="AZ6" si="88">SUM(AZ7:AZ13)</f>
        <v>0</v>
      </c>
      <c r="BA6" s="1068">
        <f t="shared" ref="BA6" si="89">SUM(BA7:BA13)</f>
        <v>0</v>
      </c>
      <c r="BB6" s="1068">
        <f t="shared" ref="BB6" si="90">SUM(BB7:BB13)</f>
        <v>0</v>
      </c>
      <c r="BC6" s="1068">
        <f t="shared" ref="BC6" si="91">SUM(BC7:BC13)</f>
        <v>0</v>
      </c>
      <c r="BD6" s="1068">
        <f t="shared" ref="BD6" si="92">SUM(BD7:BD13)</f>
        <v>0</v>
      </c>
      <c r="BE6" s="1068">
        <f t="shared" ref="BE6" si="93">SUM(BE7:BE13)</f>
        <v>0</v>
      </c>
      <c r="BF6" s="1068">
        <f t="shared" ref="BF6" si="94">SUM(BF7:BF13)</f>
        <v>0</v>
      </c>
      <c r="BG6" s="1068">
        <f t="shared" ref="BG6" si="95">SUM(BG7:BG13)</f>
        <v>0</v>
      </c>
      <c r="BH6" s="1068">
        <f t="shared" ref="BH6" si="96">SUM(BH7:BH13)</f>
        <v>0</v>
      </c>
      <c r="BI6" s="1069">
        <f t="shared" si="47"/>
        <v>0</v>
      </c>
      <c r="BJ6" s="1069">
        <f t="shared" si="48"/>
        <v>0</v>
      </c>
      <c r="BK6" s="1069">
        <f t="shared" si="49"/>
        <v>0</v>
      </c>
      <c r="BL6" s="1069">
        <f t="shared" si="50"/>
        <v>0</v>
      </c>
      <c r="BM6" s="1070"/>
    </row>
    <row r="7" spans="1:65" ht="27" thickTop="1" thickBot="1">
      <c r="A7" s="509"/>
      <c r="B7" s="509"/>
      <c r="C7" s="509"/>
      <c r="D7" s="509"/>
      <c r="E7" s="510"/>
      <c r="F7" s="510"/>
      <c r="G7" s="510"/>
      <c r="H7" s="1071" t="str">
        <f>+'Anexo 1 Matriz Inf Gestión-GD'!A11</f>
        <v>3201.01.01. Acciones para la implementación de Proyectos de PSA en áreas de interés en el marco del Programa Nacional de PSA. (meta nacional: 260.000 Ha PSA)</v>
      </c>
      <c r="I7" s="1072"/>
      <c r="J7" s="1072"/>
      <c r="K7" s="1072"/>
      <c r="L7" s="1072"/>
      <c r="M7" s="1072"/>
      <c r="N7" s="1072"/>
      <c r="O7" s="1072"/>
      <c r="P7" s="1072"/>
      <c r="Q7" s="1072"/>
      <c r="R7" s="1072"/>
      <c r="S7" s="1072"/>
      <c r="T7" s="1072"/>
      <c r="U7" s="1072"/>
      <c r="V7" s="1072"/>
      <c r="W7" s="1072"/>
      <c r="X7" s="1072"/>
      <c r="Y7" s="1072"/>
      <c r="Z7" s="1072"/>
      <c r="AA7" s="1072"/>
      <c r="AB7" s="1072"/>
      <c r="AC7" s="1072"/>
      <c r="AD7" s="1072"/>
      <c r="AE7" s="1072"/>
      <c r="AF7" s="1072"/>
      <c r="AG7" s="1072"/>
      <c r="AH7" s="1072"/>
      <c r="AI7" s="1072"/>
      <c r="AJ7" s="1072"/>
      <c r="AK7" s="1072"/>
      <c r="AL7" s="1072"/>
      <c r="AM7" s="1072"/>
      <c r="AN7" s="1072"/>
      <c r="AO7" s="1072"/>
      <c r="AP7" s="1072"/>
      <c r="AQ7" s="1072"/>
      <c r="AR7" s="1072"/>
      <c r="AS7" s="1072"/>
      <c r="AT7" s="1072"/>
      <c r="AU7" s="1072"/>
      <c r="AV7" s="1072"/>
      <c r="AW7" s="1072"/>
      <c r="AX7" s="1072"/>
      <c r="AY7" s="1072"/>
      <c r="AZ7" s="1072"/>
      <c r="BA7" s="1072"/>
      <c r="BB7" s="1072"/>
      <c r="BC7" s="1072"/>
      <c r="BD7" s="1072"/>
      <c r="BE7" s="1072"/>
      <c r="BF7" s="1072"/>
      <c r="BG7" s="1072"/>
      <c r="BH7" s="1072"/>
      <c r="BI7" s="1073">
        <f t="shared" si="47"/>
        <v>0</v>
      </c>
      <c r="BJ7" s="1073">
        <f t="shared" si="48"/>
        <v>0</v>
      </c>
      <c r="BK7" s="1073">
        <f t="shared" si="49"/>
        <v>0</v>
      </c>
      <c r="BL7" s="1073">
        <f t="shared" si="50"/>
        <v>0</v>
      </c>
      <c r="BM7" s="508"/>
    </row>
    <row r="8" spans="1:65" ht="52.5" thickTop="1" thickBot="1">
      <c r="A8" s="509"/>
      <c r="B8" s="509"/>
      <c r="C8" s="509"/>
      <c r="D8" s="509"/>
      <c r="E8" s="510"/>
      <c r="F8" s="510"/>
      <c r="G8" s="509"/>
      <c r="H8" s="1071" t="str">
        <f>+'Anexo 1 Matriz Inf Gestión-GD'!A12</f>
        <v>3201.01.02.(A) Gestión de Áreas bajo esquemas de Pagos por Servicios Ambientales (PSA) e incentivos a la conservación: fortalecimiento de capacidades, instrumentación jurídica, gestión y articulación institucional, evaluación y seguimiento, y sostenibilidad financiera.</v>
      </c>
      <c r="I8" s="1072"/>
      <c r="J8" s="1072"/>
      <c r="K8" s="1072"/>
      <c r="L8" s="1072"/>
      <c r="M8" s="1072"/>
      <c r="N8" s="1072"/>
      <c r="O8" s="1072"/>
      <c r="P8" s="1072"/>
      <c r="Q8" s="1072"/>
      <c r="R8" s="1072"/>
      <c r="S8" s="1072"/>
      <c r="T8" s="1072"/>
      <c r="U8" s="1072"/>
      <c r="V8" s="1072"/>
      <c r="W8" s="1072"/>
      <c r="X8" s="1072"/>
      <c r="Y8" s="1072"/>
      <c r="Z8" s="1072"/>
      <c r="AA8" s="1072"/>
      <c r="AB8" s="1072"/>
      <c r="AC8" s="1072"/>
      <c r="AD8" s="1072"/>
      <c r="AE8" s="1072"/>
      <c r="AF8" s="1072"/>
      <c r="AG8" s="1072"/>
      <c r="AH8" s="1072"/>
      <c r="AI8" s="1072"/>
      <c r="AJ8" s="1072"/>
      <c r="AK8" s="1072"/>
      <c r="AL8" s="1072"/>
      <c r="AM8" s="1072"/>
      <c r="AN8" s="1072"/>
      <c r="AO8" s="1072"/>
      <c r="AP8" s="1072"/>
      <c r="AQ8" s="1072"/>
      <c r="AR8" s="1072"/>
      <c r="AS8" s="1072"/>
      <c r="AT8" s="1072"/>
      <c r="AU8" s="1072"/>
      <c r="AV8" s="1072"/>
      <c r="AW8" s="1072"/>
      <c r="AX8" s="1072"/>
      <c r="AY8" s="1072"/>
      <c r="AZ8" s="1072"/>
      <c r="BA8" s="1072"/>
      <c r="BB8" s="1072"/>
      <c r="BC8" s="1072"/>
      <c r="BD8" s="1072"/>
      <c r="BE8" s="1072"/>
      <c r="BF8" s="1072"/>
      <c r="BG8" s="1072"/>
      <c r="BH8" s="1072"/>
      <c r="BI8" s="1073">
        <f t="shared" si="47"/>
        <v>0</v>
      </c>
      <c r="BJ8" s="1073">
        <f t="shared" si="48"/>
        <v>0</v>
      </c>
      <c r="BK8" s="1073">
        <f t="shared" si="49"/>
        <v>0</v>
      </c>
      <c r="BL8" s="1073">
        <f t="shared" si="50"/>
        <v>0</v>
      </c>
      <c r="BM8" s="508"/>
    </row>
    <row r="9" spans="1:65" ht="52.5" thickTop="1" thickBot="1">
      <c r="A9" s="509"/>
      <c r="B9" s="509"/>
      <c r="C9" s="510"/>
      <c r="D9" s="510"/>
      <c r="E9" s="510"/>
      <c r="F9" s="510"/>
      <c r="G9" s="510"/>
      <c r="H9" s="1071" t="str">
        <f>+'Anexo 1 Matriz Inf Gestión-GD'!A13</f>
        <v>3201.01.02(B) Gestión de sistemas bajo esquemas de Pagos por Servicios Ambientales (PSA) e incentivos a la conservación: fortalecimiento de capacidades, instrumentación jurídica, gestión y articulación institucional, evaluación y seguimiento, y sostenibilidad financiera.</v>
      </c>
      <c r="I9" s="1072"/>
      <c r="J9" s="1072"/>
      <c r="K9" s="1072"/>
      <c r="L9" s="1072"/>
      <c r="M9" s="1072"/>
      <c r="N9" s="1072"/>
      <c r="O9" s="1072"/>
      <c r="P9" s="1072"/>
      <c r="Q9" s="1072"/>
      <c r="R9" s="1072"/>
      <c r="S9" s="1072"/>
      <c r="T9" s="1072"/>
      <c r="U9" s="1072"/>
      <c r="V9" s="1072"/>
      <c r="W9" s="1072"/>
      <c r="X9" s="1072"/>
      <c r="Y9" s="1072"/>
      <c r="Z9" s="1072"/>
      <c r="AA9" s="1072"/>
      <c r="AB9" s="1072"/>
      <c r="AC9" s="1072"/>
      <c r="AD9" s="1072"/>
      <c r="AE9" s="1072"/>
      <c r="AF9" s="1072"/>
      <c r="AG9" s="1072"/>
      <c r="AH9" s="1072"/>
      <c r="AI9" s="1072"/>
      <c r="AJ9" s="1072"/>
      <c r="AK9" s="1072"/>
      <c r="AL9" s="1072"/>
      <c r="AM9" s="1072"/>
      <c r="AN9" s="1072"/>
      <c r="AO9" s="1072"/>
      <c r="AP9" s="1072"/>
      <c r="AQ9" s="1072"/>
      <c r="AR9" s="1072"/>
      <c r="AS9" s="1072"/>
      <c r="AT9" s="1072"/>
      <c r="AU9" s="1072"/>
      <c r="AV9" s="1072"/>
      <c r="AW9" s="1072"/>
      <c r="AX9" s="1072"/>
      <c r="AY9" s="1072"/>
      <c r="AZ9" s="1072"/>
      <c r="BA9" s="1072"/>
      <c r="BB9" s="1072"/>
      <c r="BC9" s="1072"/>
      <c r="BD9" s="1072"/>
      <c r="BE9" s="1072"/>
      <c r="BF9" s="1072"/>
      <c r="BG9" s="1072"/>
      <c r="BH9" s="1072"/>
      <c r="BI9" s="1073">
        <f t="shared" si="47"/>
        <v>0</v>
      </c>
      <c r="BJ9" s="1073">
        <f t="shared" si="48"/>
        <v>0</v>
      </c>
      <c r="BK9" s="1073">
        <f t="shared" si="49"/>
        <v>0</v>
      </c>
      <c r="BL9" s="1073">
        <f t="shared" si="50"/>
        <v>0</v>
      </c>
      <c r="BM9" s="508"/>
    </row>
    <row r="10" spans="1:65" ht="39.75" thickTop="1" thickBot="1">
      <c r="A10" s="509"/>
      <c r="B10" s="509"/>
      <c r="C10" s="509"/>
      <c r="D10" s="509"/>
      <c r="E10" s="510"/>
      <c r="F10" s="510"/>
      <c r="G10" s="509"/>
      <c r="H10" s="1071" t="str">
        <f>+'Anexo 1 Matriz Inf Gestión-GD'!A14</f>
        <v>3201.01.03. Implementación de estrategia enfocada a la bioeconomía para la sostenibilidad productiva en el uso de los recursos naturales (conservación de los ecosistemas estratégicos en armonía con el proyecto 1.1)</v>
      </c>
      <c r="I10" s="1072"/>
      <c r="J10" s="1072"/>
      <c r="K10" s="1072"/>
      <c r="L10" s="1072"/>
      <c r="M10" s="1072"/>
      <c r="N10" s="1072"/>
      <c r="O10" s="1072"/>
      <c r="P10" s="1072"/>
      <c r="Q10" s="1072"/>
      <c r="R10" s="1072"/>
      <c r="S10" s="1072"/>
      <c r="T10" s="1072"/>
      <c r="U10" s="1072"/>
      <c r="V10" s="1072"/>
      <c r="W10" s="1072"/>
      <c r="X10" s="1072"/>
      <c r="Y10" s="1072"/>
      <c r="Z10" s="1072"/>
      <c r="AA10" s="1072"/>
      <c r="AB10" s="1072"/>
      <c r="AC10" s="1072"/>
      <c r="AD10" s="1072"/>
      <c r="AE10" s="1072"/>
      <c r="AF10" s="1072"/>
      <c r="AG10" s="1072"/>
      <c r="AH10" s="1072"/>
      <c r="AI10" s="1072"/>
      <c r="AJ10" s="1072"/>
      <c r="AK10" s="1072"/>
      <c r="AL10" s="1072"/>
      <c r="AM10" s="1072"/>
      <c r="AN10" s="1072"/>
      <c r="AO10" s="1072"/>
      <c r="AP10" s="1072"/>
      <c r="AQ10" s="1072"/>
      <c r="AR10" s="1072"/>
      <c r="AS10" s="1072"/>
      <c r="AT10" s="1072"/>
      <c r="AU10" s="1072"/>
      <c r="AV10" s="1072"/>
      <c r="AW10" s="1072"/>
      <c r="AX10" s="1072"/>
      <c r="AY10" s="1072"/>
      <c r="AZ10" s="1072"/>
      <c r="BA10" s="1072"/>
      <c r="BB10" s="1072"/>
      <c r="BC10" s="1072"/>
      <c r="BD10" s="1072"/>
      <c r="BE10" s="1072"/>
      <c r="BF10" s="1072"/>
      <c r="BG10" s="1072"/>
      <c r="BH10" s="1072"/>
      <c r="BI10" s="1073">
        <f t="shared" si="47"/>
        <v>0</v>
      </c>
      <c r="BJ10" s="1073">
        <f t="shared" si="48"/>
        <v>0</v>
      </c>
      <c r="BK10" s="1073">
        <f t="shared" si="49"/>
        <v>0</v>
      </c>
      <c r="BL10" s="1073">
        <f t="shared" si="50"/>
        <v>0</v>
      </c>
      <c r="BM10" s="508"/>
    </row>
    <row r="11" spans="1:65" ht="16.5" thickTop="1" thickBot="1">
      <c r="A11" s="509"/>
      <c r="B11" s="509"/>
      <c r="C11" s="510"/>
      <c r="D11" s="510"/>
      <c r="E11" s="510"/>
      <c r="F11" s="510"/>
      <c r="G11" s="510"/>
      <c r="H11" s="1071" t="str">
        <f>+'Anexo 1 Matriz Inf Gestión-GD'!A15</f>
        <v>3201.01.04. Formulación e implementación del Plan Departamental de Negocios Verdes</v>
      </c>
      <c r="I11" s="1072"/>
      <c r="J11" s="1072"/>
      <c r="K11" s="1072"/>
      <c r="L11" s="1072"/>
      <c r="M11" s="1072"/>
      <c r="N11" s="1072"/>
      <c r="O11" s="1072"/>
      <c r="P11" s="1072"/>
      <c r="Q11" s="1072"/>
      <c r="R11" s="1072"/>
      <c r="S11" s="1072"/>
      <c r="T11" s="1072"/>
      <c r="U11" s="1072"/>
      <c r="V11" s="1072"/>
      <c r="W11" s="1072"/>
      <c r="X11" s="1072"/>
      <c r="Y11" s="1072"/>
      <c r="Z11" s="1072"/>
      <c r="AA11" s="1072"/>
      <c r="AB11" s="1072"/>
      <c r="AC11" s="1072"/>
      <c r="AD11" s="1072"/>
      <c r="AE11" s="1072"/>
      <c r="AF11" s="1072"/>
      <c r="AG11" s="1072"/>
      <c r="AH11" s="1072"/>
      <c r="AI11" s="1072"/>
      <c r="AJ11" s="1072"/>
      <c r="AK11" s="1072"/>
      <c r="AL11" s="1072"/>
      <c r="AM11" s="1072"/>
      <c r="AN11" s="1072"/>
      <c r="AO11" s="1072"/>
      <c r="AP11" s="1072"/>
      <c r="AQ11" s="1072"/>
      <c r="AR11" s="1072"/>
      <c r="AS11" s="1072"/>
      <c r="AT11" s="1072"/>
      <c r="AU11" s="1072"/>
      <c r="AV11" s="1072"/>
      <c r="AW11" s="1072"/>
      <c r="AX11" s="1072"/>
      <c r="AY11" s="1072"/>
      <c r="AZ11" s="1072"/>
      <c r="BA11" s="1072"/>
      <c r="BB11" s="1072"/>
      <c r="BC11" s="1072"/>
      <c r="BD11" s="1072"/>
      <c r="BE11" s="1072"/>
      <c r="BF11" s="1072"/>
      <c r="BG11" s="1072"/>
      <c r="BH11" s="1072"/>
      <c r="BI11" s="1073">
        <f t="shared" si="47"/>
        <v>0</v>
      </c>
      <c r="BJ11" s="1073">
        <f t="shared" si="48"/>
        <v>0</v>
      </c>
      <c r="BK11" s="1073">
        <f t="shared" si="49"/>
        <v>0</v>
      </c>
      <c r="BL11" s="1073">
        <f t="shared" si="50"/>
        <v>0</v>
      </c>
      <c r="BM11" s="508"/>
    </row>
    <row r="12" spans="1:65" s="1093" customFormat="1" ht="27" thickTop="1" thickBot="1">
      <c r="A12" s="513"/>
      <c r="B12" s="513"/>
      <c r="C12" s="513"/>
      <c r="D12" s="513"/>
      <c r="E12" s="513"/>
      <c r="F12" s="513"/>
      <c r="G12" s="513"/>
      <c r="H12" s="1090" t="str">
        <f>+'Anexo 1 Matriz Inf Gestión-GD'!A16</f>
        <v>3201.01.05.(A) Implementación de las ventanillas de negocios verdes y articulación con los incentivos existentes.</v>
      </c>
      <c r="I12" s="1091"/>
      <c r="J12" s="1091"/>
      <c r="K12" s="1091"/>
      <c r="L12" s="1091"/>
      <c r="M12" s="1091"/>
      <c r="N12" s="1091"/>
      <c r="O12" s="1091"/>
      <c r="P12" s="1091"/>
      <c r="Q12" s="1091"/>
      <c r="R12" s="1091"/>
      <c r="S12" s="1091"/>
      <c r="T12" s="1091"/>
      <c r="U12" s="1091"/>
      <c r="V12" s="1091"/>
      <c r="W12" s="1091"/>
      <c r="X12" s="1091"/>
      <c r="Y12" s="1091"/>
      <c r="Z12" s="1091"/>
      <c r="AA12" s="1091"/>
      <c r="AB12" s="1091"/>
      <c r="AC12" s="1091"/>
      <c r="AD12" s="1091"/>
      <c r="AE12" s="1091"/>
      <c r="AF12" s="1091"/>
      <c r="AG12" s="1091"/>
      <c r="AH12" s="1091"/>
      <c r="AI12" s="1091"/>
      <c r="AJ12" s="1091"/>
      <c r="AK12" s="1091"/>
      <c r="AL12" s="1091"/>
      <c r="AM12" s="1091"/>
      <c r="AN12" s="1091"/>
      <c r="AO12" s="1091"/>
      <c r="AP12" s="1091"/>
      <c r="AQ12" s="1091"/>
      <c r="AR12" s="1091"/>
      <c r="AS12" s="1091"/>
      <c r="AT12" s="1091"/>
      <c r="AU12" s="1091"/>
      <c r="AV12" s="1091"/>
      <c r="AW12" s="1091"/>
      <c r="AX12" s="1091"/>
      <c r="AY12" s="1091"/>
      <c r="AZ12" s="1091"/>
      <c r="BA12" s="1091"/>
      <c r="BB12" s="1091"/>
      <c r="BC12" s="1091"/>
      <c r="BD12" s="1091"/>
      <c r="BE12" s="1091"/>
      <c r="BF12" s="1091"/>
      <c r="BG12" s="1091"/>
      <c r="BH12" s="1091"/>
      <c r="BI12" s="1092">
        <f t="shared" si="47"/>
        <v>0</v>
      </c>
      <c r="BJ12" s="1092">
        <f t="shared" si="48"/>
        <v>0</v>
      </c>
      <c r="BK12" s="1092">
        <f t="shared" si="49"/>
        <v>0</v>
      </c>
      <c r="BL12" s="1092">
        <f t="shared" si="50"/>
        <v>0</v>
      </c>
      <c r="BM12" s="1089"/>
    </row>
    <row r="13" spans="1:65" ht="27" thickTop="1" thickBot="1">
      <c r="A13" s="1074"/>
      <c r="B13" s="1074"/>
      <c r="C13" s="1074"/>
      <c r="D13" s="1074"/>
      <c r="E13" s="1075"/>
      <c r="F13" s="1075"/>
      <c r="G13" s="1074"/>
      <c r="H13" s="1071" t="str">
        <f>+'Anexo 1 Matriz Inf Gestión-GD'!A17</f>
        <v>3201.01.05(B). Fortalecimiento de las ventanillas de negocios verdes y articulación con los incentivos existentes..</v>
      </c>
      <c r="I13" s="1072"/>
      <c r="J13" s="1072"/>
      <c r="K13" s="1072"/>
      <c r="L13" s="1072"/>
      <c r="M13" s="1072"/>
      <c r="N13" s="1072"/>
      <c r="O13" s="1072"/>
      <c r="P13" s="1072"/>
      <c r="Q13" s="1072"/>
      <c r="R13" s="1072"/>
      <c r="S13" s="1072"/>
      <c r="T13" s="1072"/>
      <c r="U13" s="1072"/>
      <c r="V13" s="1072"/>
      <c r="W13" s="1072"/>
      <c r="X13" s="1072"/>
      <c r="Y13" s="1072"/>
      <c r="Z13" s="1072"/>
      <c r="AA13" s="1072"/>
      <c r="AB13" s="1072"/>
      <c r="AC13" s="1072"/>
      <c r="AD13" s="1072"/>
      <c r="AE13" s="1072"/>
      <c r="AF13" s="1072"/>
      <c r="AG13" s="1072"/>
      <c r="AH13" s="1072"/>
      <c r="AI13" s="1072"/>
      <c r="AJ13" s="1072"/>
      <c r="AK13" s="1072"/>
      <c r="AL13" s="1072"/>
      <c r="AM13" s="1072"/>
      <c r="AN13" s="1072"/>
      <c r="AO13" s="1072"/>
      <c r="AP13" s="1072"/>
      <c r="AQ13" s="1072"/>
      <c r="AR13" s="1072"/>
      <c r="AS13" s="1072"/>
      <c r="AT13" s="1072"/>
      <c r="AU13" s="1072"/>
      <c r="AV13" s="1072"/>
      <c r="AW13" s="1072"/>
      <c r="AX13" s="1072"/>
      <c r="AY13" s="1072"/>
      <c r="AZ13" s="1072"/>
      <c r="BA13" s="1072"/>
      <c r="BB13" s="1072"/>
      <c r="BC13" s="1072"/>
      <c r="BD13" s="1072"/>
      <c r="BE13" s="1072"/>
      <c r="BF13" s="1072"/>
      <c r="BG13" s="1072"/>
      <c r="BH13" s="1072"/>
      <c r="BI13" s="1073">
        <f t="shared" si="47"/>
        <v>0</v>
      </c>
      <c r="BJ13" s="1073">
        <f t="shared" si="48"/>
        <v>0</v>
      </c>
      <c r="BK13" s="1073">
        <f t="shared" si="49"/>
        <v>0</v>
      </c>
      <c r="BL13" s="1073">
        <f t="shared" si="50"/>
        <v>0</v>
      </c>
      <c r="BM13" s="508"/>
    </row>
    <row r="14" spans="1:65" s="1098" customFormat="1" ht="39.75" thickTop="1" thickBot="1">
      <c r="A14" s="1094"/>
      <c r="B14" s="1094"/>
      <c r="C14" s="1094"/>
      <c r="D14" s="1094"/>
      <c r="E14" s="1087"/>
      <c r="F14" s="1087"/>
      <c r="G14" s="1094"/>
      <c r="H14" s="1095" t="str">
        <f>+'Anexo 1 Matriz Inf Gestión-GD'!A18</f>
        <v>Proyecto 3201.02.Gestión, coordinación,  e implementación de políticas locales de resiliencia y sostenibilidad ambiental urbana en el área de jurisdicción de Corpocesar.</v>
      </c>
      <c r="I14" s="1096">
        <f>SUM(I15:I17)</f>
        <v>0</v>
      </c>
      <c r="J14" s="1096">
        <f t="shared" ref="J14:AL14" si="97">SUM(J15:J17)</f>
        <v>0</v>
      </c>
      <c r="K14" s="1096">
        <f t="shared" si="97"/>
        <v>0</v>
      </c>
      <c r="L14" s="1096">
        <f t="shared" si="97"/>
        <v>0</v>
      </c>
      <c r="M14" s="1096">
        <f t="shared" si="97"/>
        <v>0</v>
      </c>
      <c r="N14" s="1096">
        <f t="shared" si="97"/>
        <v>0</v>
      </c>
      <c r="O14" s="1096">
        <f t="shared" si="97"/>
        <v>0</v>
      </c>
      <c r="P14" s="1096">
        <f t="shared" si="97"/>
        <v>0</v>
      </c>
      <c r="Q14" s="1096">
        <f t="shared" si="97"/>
        <v>0</v>
      </c>
      <c r="R14" s="1096">
        <f t="shared" si="97"/>
        <v>0</v>
      </c>
      <c r="S14" s="1096">
        <f t="shared" si="97"/>
        <v>0</v>
      </c>
      <c r="T14" s="1096">
        <f t="shared" si="97"/>
        <v>0</v>
      </c>
      <c r="U14" s="1096">
        <f t="shared" si="97"/>
        <v>0</v>
      </c>
      <c r="V14" s="1096">
        <f t="shared" si="97"/>
        <v>0</v>
      </c>
      <c r="W14" s="1096">
        <f t="shared" si="97"/>
        <v>0</v>
      </c>
      <c r="X14" s="1096">
        <f t="shared" si="97"/>
        <v>0</v>
      </c>
      <c r="Y14" s="1096">
        <f t="shared" si="97"/>
        <v>0</v>
      </c>
      <c r="Z14" s="1096">
        <f t="shared" si="97"/>
        <v>0</v>
      </c>
      <c r="AA14" s="1096">
        <f t="shared" si="97"/>
        <v>0</v>
      </c>
      <c r="AB14" s="1096">
        <f t="shared" si="97"/>
        <v>0</v>
      </c>
      <c r="AC14" s="1096">
        <f t="shared" si="97"/>
        <v>0</v>
      </c>
      <c r="AD14" s="1096">
        <f t="shared" si="97"/>
        <v>0</v>
      </c>
      <c r="AE14" s="1096">
        <f t="shared" si="97"/>
        <v>0</v>
      </c>
      <c r="AF14" s="1096">
        <f t="shared" si="97"/>
        <v>0</v>
      </c>
      <c r="AG14" s="1096">
        <f t="shared" si="97"/>
        <v>0</v>
      </c>
      <c r="AH14" s="1096">
        <f t="shared" si="97"/>
        <v>0</v>
      </c>
      <c r="AI14" s="1096">
        <f t="shared" si="97"/>
        <v>0</v>
      </c>
      <c r="AJ14" s="1096">
        <f t="shared" si="97"/>
        <v>0</v>
      </c>
      <c r="AK14" s="1096">
        <f t="shared" si="97"/>
        <v>0</v>
      </c>
      <c r="AL14" s="1096">
        <f t="shared" si="97"/>
        <v>0</v>
      </c>
      <c r="AM14" s="1096">
        <f t="shared" ref="AM14" si="98">SUM(AM15:AM17)</f>
        <v>0</v>
      </c>
      <c r="AN14" s="1096">
        <f t="shared" ref="AN14" si="99">SUM(AN15:AN17)</f>
        <v>0</v>
      </c>
      <c r="AO14" s="1096">
        <f t="shared" ref="AO14" si="100">SUM(AO15:AO17)</f>
        <v>0</v>
      </c>
      <c r="AP14" s="1096">
        <f t="shared" ref="AP14" si="101">SUM(AP15:AP17)</f>
        <v>0</v>
      </c>
      <c r="AQ14" s="1096">
        <f t="shared" ref="AQ14" si="102">SUM(AQ15:AQ17)</f>
        <v>0</v>
      </c>
      <c r="AR14" s="1096">
        <f t="shared" ref="AR14" si="103">SUM(AR15:AR17)</f>
        <v>0</v>
      </c>
      <c r="AS14" s="1096">
        <f t="shared" ref="AS14" si="104">SUM(AS15:AS17)</f>
        <v>0</v>
      </c>
      <c r="AT14" s="1096">
        <f t="shared" ref="AT14" si="105">SUM(AT15:AT17)</f>
        <v>0</v>
      </c>
      <c r="AU14" s="1096">
        <f t="shared" ref="AU14" si="106">SUM(AU15:AU17)</f>
        <v>0</v>
      </c>
      <c r="AV14" s="1096">
        <f t="shared" ref="AV14" si="107">SUM(AV15:AV17)</f>
        <v>0</v>
      </c>
      <c r="AW14" s="1096">
        <f t="shared" ref="AW14" si="108">SUM(AW15:AW17)</f>
        <v>0</v>
      </c>
      <c r="AX14" s="1096">
        <f t="shared" ref="AX14" si="109">SUM(AX15:AX17)</f>
        <v>0</v>
      </c>
      <c r="AY14" s="1096">
        <f t="shared" ref="AY14" si="110">SUM(AY15:AY17)</f>
        <v>0</v>
      </c>
      <c r="AZ14" s="1096">
        <f t="shared" ref="AZ14" si="111">SUM(AZ15:AZ17)</f>
        <v>0</v>
      </c>
      <c r="BA14" s="1096">
        <f t="shared" ref="BA14" si="112">SUM(BA15:BA17)</f>
        <v>0</v>
      </c>
      <c r="BB14" s="1096">
        <f t="shared" ref="BB14" si="113">SUM(BB15:BB17)</f>
        <v>0</v>
      </c>
      <c r="BC14" s="1096">
        <f t="shared" ref="BC14" si="114">SUM(BC15:BC17)</f>
        <v>0</v>
      </c>
      <c r="BD14" s="1096">
        <f t="shared" ref="BD14" si="115">SUM(BD15:BD17)</f>
        <v>0</v>
      </c>
      <c r="BE14" s="1096">
        <f t="shared" ref="BE14" si="116">SUM(BE15:BE17)</f>
        <v>0</v>
      </c>
      <c r="BF14" s="1096">
        <f t="shared" ref="BF14" si="117">SUM(BF15:BF17)</f>
        <v>0</v>
      </c>
      <c r="BG14" s="1096">
        <f t="shared" ref="BG14" si="118">SUM(BG15:BG17)</f>
        <v>0</v>
      </c>
      <c r="BH14" s="1096">
        <f t="shared" ref="BH14" si="119">SUM(BH15:BH17)</f>
        <v>0</v>
      </c>
      <c r="BI14" s="1069">
        <f t="shared" si="47"/>
        <v>0</v>
      </c>
      <c r="BJ14" s="1069">
        <f t="shared" si="48"/>
        <v>0</v>
      </c>
      <c r="BK14" s="1069">
        <f t="shared" si="49"/>
        <v>0</v>
      </c>
      <c r="BL14" s="1069">
        <f t="shared" si="50"/>
        <v>0</v>
      </c>
      <c r="BM14" s="1097"/>
    </row>
    <row r="15" spans="1:65" ht="27" thickTop="1" thickBot="1">
      <c r="A15" s="1074"/>
      <c r="B15" s="1074"/>
      <c r="C15" s="1074"/>
      <c r="D15" s="1074"/>
      <c r="E15" s="1075"/>
      <c r="F15" s="1075"/>
      <c r="G15" s="1074"/>
      <c r="H15" s="1071" t="str">
        <f>+'Anexo 1 Matriz Inf Gestión-GD'!A19</f>
        <v>3201.02.01. Optimización del proceso de construcción y reporte de ICAU/PGAU ((aire, movilidad, SSPD, CC, PGIR, PSMV, PUEAA, Etc)</v>
      </c>
      <c r="I15" s="1072"/>
      <c r="J15" s="1072"/>
      <c r="K15" s="1072"/>
      <c r="L15" s="1072"/>
      <c r="M15" s="1072"/>
      <c r="N15" s="1072"/>
      <c r="O15" s="1072"/>
      <c r="P15" s="1072"/>
      <c r="Q15" s="1072"/>
      <c r="R15" s="1072"/>
      <c r="S15" s="1072"/>
      <c r="T15" s="1072"/>
      <c r="U15" s="1072"/>
      <c r="V15" s="1072"/>
      <c r="W15" s="1072"/>
      <c r="X15" s="1072"/>
      <c r="Y15" s="1072"/>
      <c r="Z15" s="1072"/>
      <c r="AA15" s="1072"/>
      <c r="AB15" s="1072"/>
      <c r="AC15" s="1072"/>
      <c r="AD15" s="1072"/>
      <c r="AE15" s="1072"/>
      <c r="AF15" s="1072"/>
      <c r="AG15" s="1072"/>
      <c r="AH15" s="1072"/>
      <c r="AI15" s="1072"/>
      <c r="AJ15" s="1072"/>
      <c r="AK15" s="1072"/>
      <c r="AL15" s="1072"/>
      <c r="AM15" s="1072"/>
      <c r="AN15" s="1072"/>
      <c r="AO15" s="1072"/>
      <c r="AP15" s="1072"/>
      <c r="AQ15" s="1072"/>
      <c r="AR15" s="1072"/>
      <c r="AS15" s="1072"/>
      <c r="AT15" s="1072"/>
      <c r="AU15" s="1072"/>
      <c r="AV15" s="1072"/>
      <c r="AW15" s="1072"/>
      <c r="AX15" s="1072"/>
      <c r="AY15" s="1072"/>
      <c r="AZ15" s="1072"/>
      <c r="BA15" s="1072"/>
      <c r="BB15" s="1072"/>
      <c r="BC15" s="1072"/>
      <c r="BD15" s="1072"/>
      <c r="BE15" s="1072"/>
      <c r="BF15" s="1072"/>
      <c r="BG15" s="1072"/>
      <c r="BH15" s="1072"/>
      <c r="BI15" s="1073">
        <f t="shared" si="47"/>
        <v>0</v>
      </c>
      <c r="BJ15" s="1073">
        <f t="shared" si="48"/>
        <v>0</v>
      </c>
      <c r="BK15" s="1073">
        <f t="shared" si="49"/>
        <v>0</v>
      </c>
      <c r="BL15" s="1073">
        <f t="shared" si="50"/>
        <v>0</v>
      </c>
      <c r="BM15" s="508"/>
    </row>
    <row r="16" spans="1:65" ht="27" thickTop="1" thickBot="1">
      <c r="A16" s="1074"/>
      <c r="B16" s="1074"/>
      <c r="C16" s="1074"/>
      <c r="D16" s="1074"/>
      <c r="E16" s="1075"/>
      <c r="F16" s="1075"/>
      <c r="G16" s="1074"/>
      <c r="H16" s="1071" t="str">
        <f>+'Anexo 1 Matriz Inf Gestión-GD'!A20</f>
        <v>3201.02.02. Participación en el proceso de ajuste de la Política de Gestión ambiental urbana y desarrollo de indicadores en conjunto con el MADS- DAASU-.</v>
      </c>
      <c r="I16" s="1072"/>
      <c r="J16" s="1072"/>
      <c r="K16" s="1072"/>
      <c r="L16" s="1072"/>
      <c r="M16" s="1072"/>
      <c r="N16" s="1072"/>
      <c r="O16" s="1072"/>
      <c r="P16" s="1072"/>
      <c r="Q16" s="1072"/>
      <c r="R16" s="1072"/>
      <c r="S16" s="1072"/>
      <c r="T16" s="1072"/>
      <c r="U16" s="1072"/>
      <c r="V16" s="1072"/>
      <c r="W16" s="1072"/>
      <c r="X16" s="1072"/>
      <c r="Y16" s="1072"/>
      <c r="Z16" s="1072"/>
      <c r="AA16" s="1072"/>
      <c r="AB16" s="1072"/>
      <c r="AC16" s="1072"/>
      <c r="AD16" s="1072"/>
      <c r="AE16" s="1072"/>
      <c r="AF16" s="1072"/>
      <c r="AG16" s="1072"/>
      <c r="AH16" s="1072"/>
      <c r="AI16" s="1072"/>
      <c r="AJ16" s="1072"/>
      <c r="AK16" s="1072"/>
      <c r="AL16" s="1072"/>
      <c r="AM16" s="1072"/>
      <c r="AN16" s="1072"/>
      <c r="AO16" s="1072"/>
      <c r="AP16" s="1072"/>
      <c r="AQ16" s="1072"/>
      <c r="AR16" s="1072"/>
      <c r="AS16" s="1072"/>
      <c r="AT16" s="1072"/>
      <c r="AU16" s="1072"/>
      <c r="AV16" s="1072"/>
      <c r="AW16" s="1072"/>
      <c r="AX16" s="1072"/>
      <c r="AY16" s="1072"/>
      <c r="AZ16" s="1072"/>
      <c r="BA16" s="1072"/>
      <c r="BB16" s="1072"/>
      <c r="BC16" s="1072"/>
      <c r="BD16" s="1072"/>
      <c r="BE16" s="1072"/>
      <c r="BF16" s="1072"/>
      <c r="BG16" s="1072"/>
      <c r="BH16" s="1072"/>
      <c r="BI16" s="1073">
        <f t="shared" si="47"/>
        <v>0</v>
      </c>
      <c r="BJ16" s="1073">
        <f t="shared" si="48"/>
        <v>0</v>
      </c>
      <c r="BK16" s="1073">
        <f t="shared" si="49"/>
        <v>0</v>
      </c>
      <c r="BL16" s="1073">
        <f t="shared" si="50"/>
        <v>0</v>
      </c>
      <c r="BM16" s="508"/>
    </row>
    <row r="17" spans="1:65" s="1093" customFormat="1" ht="42" thickTop="1" thickBot="1">
      <c r="A17" s="513"/>
      <c r="B17" s="513"/>
      <c r="C17" s="513"/>
      <c r="D17" s="513"/>
      <c r="E17" s="513"/>
      <c r="F17" s="513"/>
      <c r="G17" s="513"/>
      <c r="H17" s="1099" t="str">
        <f>+'Anexo 1 Matriz Inf Gestión-GD'!A21</f>
        <v>3201.02.03. Gestión para la Incorporación de la biodiversidad y servicios ecosistémicos en la planificación urbana a través del ordenamiento ambiental del territorio (GAU).</v>
      </c>
      <c r="I17" s="1091"/>
      <c r="J17" s="1091"/>
      <c r="K17" s="1091"/>
      <c r="L17" s="1091"/>
      <c r="M17" s="1091"/>
      <c r="N17" s="1091"/>
      <c r="O17" s="1091"/>
      <c r="P17" s="1091"/>
      <c r="Q17" s="1091"/>
      <c r="R17" s="1091"/>
      <c r="S17" s="1091"/>
      <c r="T17" s="1091"/>
      <c r="U17" s="1091"/>
      <c r="V17" s="1091"/>
      <c r="W17" s="1091"/>
      <c r="X17" s="1091"/>
      <c r="Y17" s="1091"/>
      <c r="Z17" s="1091"/>
      <c r="AA17" s="1091"/>
      <c r="AB17" s="1091"/>
      <c r="AC17" s="1091"/>
      <c r="AD17" s="1091"/>
      <c r="AE17" s="1091"/>
      <c r="AF17" s="1091"/>
      <c r="AG17" s="1091"/>
      <c r="AH17" s="1091"/>
      <c r="AI17" s="1091"/>
      <c r="AJ17" s="1091"/>
      <c r="AK17" s="1091"/>
      <c r="AL17" s="1091"/>
      <c r="AM17" s="1091"/>
      <c r="AN17" s="1091"/>
      <c r="AO17" s="1091"/>
      <c r="AP17" s="1091"/>
      <c r="AQ17" s="1091"/>
      <c r="AR17" s="1091"/>
      <c r="AS17" s="1091"/>
      <c r="AT17" s="1091"/>
      <c r="AU17" s="1091"/>
      <c r="AV17" s="1091"/>
      <c r="AW17" s="1091"/>
      <c r="AX17" s="1091"/>
      <c r="AY17" s="1091"/>
      <c r="AZ17" s="1091"/>
      <c r="BA17" s="1091"/>
      <c r="BB17" s="1091"/>
      <c r="BC17" s="1091"/>
      <c r="BD17" s="1091"/>
      <c r="BE17" s="1091"/>
      <c r="BF17" s="1091"/>
      <c r="BG17" s="1091"/>
      <c r="BH17" s="1091"/>
      <c r="BI17" s="1092">
        <f t="shared" si="47"/>
        <v>0</v>
      </c>
      <c r="BJ17" s="1092">
        <f t="shared" si="48"/>
        <v>0</v>
      </c>
      <c r="BK17" s="1092">
        <f t="shared" si="49"/>
        <v>0</v>
      </c>
      <c r="BL17" s="1092">
        <f t="shared" si="50"/>
        <v>0</v>
      </c>
      <c r="BM17" s="1089"/>
    </row>
    <row r="18" spans="1:65" s="1098" customFormat="1" ht="39.75" thickTop="1" thickBot="1">
      <c r="A18" s="1094"/>
      <c r="B18" s="1094"/>
      <c r="C18" s="1094"/>
      <c r="D18" s="1094"/>
      <c r="E18" s="1087"/>
      <c r="F18" s="1087"/>
      <c r="G18" s="1094"/>
      <c r="H18" s="1095" t="str">
        <f>+'Anexo 1 Matriz Inf Gestión-GD'!A22</f>
        <v>Proyecto 3201.03.Gestión y apoyo regional a  la implementación de la estrategia nacional de Economía  circular y  economía ambiental para la producción sostenible</v>
      </c>
      <c r="I18" s="1096">
        <f>SUM(I19:I25)</f>
        <v>0</v>
      </c>
      <c r="J18" s="1096">
        <f t="shared" ref="J18:AL18" si="120">SUM(J19:J25)</f>
        <v>0</v>
      </c>
      <c r="K18" s="1096">
        <f t="shared" si="120"/>
        <v>0</v>
      </c>
      <c r="L18" s="1096">
        <f t="shared" si="120"/>
        <v>0</v>
      </c>
      <c r="M18" s="1096">
        <f t="shared" si="120"/>
        <v>0</v>
      </c>
      <c r="N18" s="1096">
        <f t="shared" si="120"/>
        <v>0</v>
      </c>
      <c r="O18" s="1096">
        <f t="shared" si="120"/>
        <v>0</v>
      </c>
      <c r="P18" s="1096">
        <f t="shared" si="120"/>
        <v>0</v>
      </c>
      <c r="Q18" s="1096">
        <f t="shared" si="120"/>
        <v>0</v>
      </c>
      <c r="R18" s="1096">
        <f t="shared" si="120"/>
        <v>0</v>
      </c>
      <c r="S18" s="1096">
        <f t="shared" si="120"/>
        <v>0</v>
      </c>
      <c r="T18" s="1096">
        <f t="shared" si="120"/>
        <v>0</v>
      </c>
      <c r="U18" s="1096">
        <f t="shared" si="120"/>
        <v>0</v>
      </c>
      <c r="V18" s="1096">
        <f t="shared" si="120"/>
        <v>0</v>
      </c>
      <c r="W18" s="1096">
        <f t="shared" si="120"/>
        <v>0</v>
      </c>
      <c r="X18" s="1096">
        <f t="shared" si="120"/>
        <v>0</v>
      </c>
      <c r="Y18" s="1096">
        <f t="shared" si="120"/>
        <v>0</v>
      </c>
      <c r="Z18" s="1096">
        <f t="shared" si="120"/>
        <v>0</v>
      </c>
      <c r="AA18" s="1096">
        <f t="shared" si="120"/>
        <v>0</v>
      </c>
      <c r="AB18" s="1096">
        <f t="shared" si="120"/>
        <v>0</v>
      </c>
      <c r="AC18" s="1096">
        <f t="shared" si="120"/>
        <v>0</v>
      </c>
      <c r="AD18" s="1096">
        <f t="shared" si="120"/>
        <v>0</v>
      </c>
      <c r="AE18" s="1096">
        <f t="shared" si="120"/>
        <v>0</v>
      </c>
      <c r="AF18" s="1096">
        <f t="shared" si="120"/>
        <v>0</v>
      </c>
      <c r="AG18" s="1096">
        <f t="shared" si="120"/>
        <v>0</v>
      </c>
      <c r="AH18" s="1096">
        <f t="shared" si="120"/>
        <v>0</v>
      </c>
      <c r="AI18" s="1096">
        <f t="shared" si="120"/>
        <v>0</v>
      </c>
      <c r="AJ18" s="1096">
        <f t="shared" si="120"/>
        <v>0</v>
      </c>
      <c r="AK18" s="1096">
        <f t="shared" si="120"/>
        <v>0</v>
      </c>
      <c r="AL18" s="1096">
        <f t="shared" si="120"/>
        <v>0</v>
      </c>
      <c r="AM18" s="1096">
        <f t="shared" ref="AM18" si="121">SUM(AM19:AM25)</f>
        <v>0</v>
      </c>
      <c r="AN18" s="1096">
        <f t="shared" ref="AN18" si="122">SUM(AN19:AN25)</f>
        <v>0</v>
      </c>
      <c r="AO18" s="1096">
        <f t="shared" ref="AO18" si="123">SUM(AO19:AO25)</f>
        <v>0</v>
      </c>
      <c r="AP18" s="1096">
        <f t="shared" ref="AP18" si="124">SUM(AP19:AP25)</f>
        <v>0</v>
      </c>
      <c r="AQ18" s="1096">
        <f t="shared" ref="AQ18" si="125">SUM(AQ19:AQ25)</f>
        <v>0</v>
      </c>
      <c r="AR18" s="1096">
        <f t="shared" ref="AR18" si="126">SUM(AR19:AR25)</f>
        <v>0</v>
      </c>
      <c r="AS18" s="1096">
        <f t="shared" ref="AS18" si="127">SUM(AS19:AS25)</f>
        <v>0</v>
      </c>
      <c r="AT18" s="1096">
        <f t="shared" ref="AT18" si="128">SUM(AT19:AT25)</f>
        <v>0</v>
      </c>
      <c r="AU18" s="1096">
        <f t="shared" ref="AU18" si="129">SUM(AU19:AU25)</f>
        <v>0</v>
      </c>
      <c r="AV18" s="1096">
        <f t="shared" ref="AV18" si="130">SUM(AV19:AV25)</f>
        <v>0</v>
      </c>
      <c r="AW18" s="1096">
        <f t="shared" ref="AW18" si="131">SUM(AW19:AW25)</f>
        <v>0</v>
      </c>
      <c r="AX18" s="1096">
        <f t="shared" ref="AX18" si="132">SUM(AX19:AX25)</f>
        <v>0</v>
      </c>
      <c r="AY18" s="1096">
        <f t="shared" ref="AY18" si="133">SUM(AY19:AY25)</f>
        <v>0</v>
      </c>
      <c r="AZ18" s="1096">
        <f t="shared" ref="AZ18" si="134">SUM(AZ19:AZ25)</f>
        <v>0</v>
      </c>
      <c r="BA18" s="1096">
        <f t="shared" ref="BA18" si="135">SUM(BA19:BA25)</f>
        <v>0</v>
      </c>
      <c r="BB18" s="1096">
        <f t="shared" ref="BB18" si="136">SUM(BB19:BB25)</f>
        <v>0</v>
      </c>
      <c r="BC18" s="1096">
        <f t="shared" ref="BC18" si="137">SUM(BC19:BC25)</f>
        <v>0</v>
      </c>
      <c r="BD18" s="1096">
        <f t="shared" ref="BD18" si="138">SUM(BD19:BD25)</f>
        <v>0</v>
      </c>
      <c r="BE18" s="1096">
        <f t="shared" ref="BE18" si="139">SUM(BE19:BE25)</f>
        <v>0</v>
      </c>
      <c r="BF18" s="1096">
        <f t="shared" ref="BF18" si="140">SUM(BF19:BF25)</f>
        <v>0</v>
      </c>
      <c r="BG18" s="1096">
        <f t="shared" ref="BG18" si="141">SUM(BG19:BG25)</f>
        <v>0</v>
      </c>
      <c r="BH18" s="1096">
        <f t="shared" ref="BH18" si="142">SUM(BH19:BH25)</f>
        <v>0</v>
      </c>
      <c r="BI18" s="1069">
        <f t="shared" si="47"/>
        <v>0</v>
      </c>
      <c r="BJ18" s="1069">
        <f t="shared" si="48"/>
        <v>0</v>
      </c>
      <c r="BK18" s="1069">
        <f t="shared" si="49"/>
        <v>0</v>
      </c>
      <c r="BL18" s="1069">
        <f t="shared" si="50"/>
        <v>0</v>
      </c>
      <c r="BM18" s="1097"/>
    </row>
    <row r="19" spans="1:65" s="1093" customFormat="1" ht="52.5" thickTop="1" thickBot="1">
      <c r="A19" s="513"/>
      <c r="B19" s="513"/>
      <c r="C19" s="513"/>
      <c r="D19" s="513"/>
      <c r="E19" s="513"/>
      <c r="F19" s="513"/>
      <c r="G19" s="513"/>
      <c r="H19" s="1090" t="str">
        <f>+'Anexo 1 Matriz Inf Gestión-GD'!A23</f>
        <v>3201.03.01. Promoción del aprovechamiento y valorización de residuos sólidos en el marco de los PGIRS. (incluye Socialización de esquemas de posconsumo y campañas conjuntas con los sistemas en el marco de educación para la gestión responsable de los residuos)</v>
      </c>
      <c r="I19" s="1091"/>
      <c r="J19" s="1091"/>
      <c r="K19" s="1091"/>
      <c r="L19" s="1091"/>
      <c r="M19" s="1091"/>
      <c r="N19" s="1091"/>
      <c r="O19" s="1091"/>
      <c r="P19" s="1091"/>
      <c r="Q19" s="1091"/>
      <c r="R19" s="1091"/>
      <c r="S19" s="1091"/>
      <c r="T19" s="1091"/>
      <c r="U19" s="1091"/>
      <c r="V19" s="1091"/>
      <c r="W19" s="1091"/>
      <c r="X19" s="1091"/>
      <c r="Y19" s="1091"/>
      <c r="Z19" s="1091"/>
      <c r="AA19" s="1091"/>
      <c r="AB19" s="1091"/>
      <c r="AC19" s="1091"/>
      <c r="AD19" s="1091"/>
      <c r="AE19" s="1091"/>
      <c r="AF19" s="1091"/>
      <c r="AG19" s="1091"/>
      <c r="AH19" s="1091"/>
      <c r="AI19" s="1091"/>
      <c r="AJ19" s="1091"/>
      <c r="AK19" s="1091"/>
      <c r="AL19" s="1091"/>
      <c r="AM19" s="1091"/>
      <c r="AN19" s="1091"/>
      <c r="AO19" s="1091"/>
      <c r="AP19" s="1091"/>
      <c r="AQ19" s="1091"/>
      <c r="AR19" s="1091"/>
      <c r="AS19" s="1091"/>
      <c r="AT19" s="1091"/>
      <c r="AU19" s="1091"/>
      <c r="AV19" s="1091"/>
      <c r="AW19" s="1091"/>
      <c r="AX19" s="1091"/>
      <c r="AY19" s="1091"/>
      <c r="AZ19" s="1091"/>
      <c r="BA19" s="1091"/>
      <c r="BB19" s="1091"/>
      <c r="BC19" s="1091"/>
      <c r="BD19" s="1091"/>
      <c r="BE19" s="1091"/>
      <c r="BF19" s="1091"/>
      <c r="BG19" s="1091"/>
      <c r="BH19" s="1091"/>
      <c r="BI19" s="1092">
        <f t="shared" si="47"/>
        <v>0</v>
      </c>
      <c r="BJ19" s="1092">
        <f t="shared" si="48"/>
        <v>0</v>
      </c>
      <c r="BK19" s="1092">
        <f t="shared" si="49"/>
        <v>0</v>
      </c>
      <c r="BL19" s="1092">
        <f t="shared" si="50"/>
        <v>0</v>
      </c>
      <c r="BM19" s="1089"/>
    </row>
    <row r="20" spans="1:65" ht="27" thickTop="1" thickBot="1">
      <c r="A20" s="1076"/>
      <c r="B20" s="1076"/>
      <c r="C20" s="1076"/>
      <c r="D20" s="1076"/>
      <c r="E20" s="509"/>
      <c r="F20" s="509"/>
      <c r="G20" s="509"/>
      <c r="H20" s="1071" t="str">
        <f>+'Anexo 1 Matriz Inf Gestión-GD'!A24</f>
        <v>3201.03.02. Apoyo a la implementación de acciones para el desarrollo de la economía circular en el manejo de los residuos sólidos (proyectos pilotos)</v>
      </c>
      <c r="I20" s="1072"/>
      <c r="J20" s="1072"/>
      <c r="K20" s="1072"/>
      <c r="L20" s="1072"/>
      <c r="M20" s="1072"/>
      <c r="N20" s="1072"/>
      <c r="O20" s="1072"/>
      <c r="P20" s="1072"/>
      <c r="Q20" s="1072"/>
      <c r="R20" s="1072"/>
      <c r="S20" s="1072"/>
      <c r="T20" s="1072"/>
      <c r="U20" s="1072"/>
      <c r="V20" s="1072"/>
      <c r="W20" s="1072"/>
      <c r="X20" s="1072"/>
      <c r="Y20" s="1072"/>
      <c r="Z20" s="1072"/>
      <c r="AA20" s="1072"/>
      <c r="AB20" s="1072"/>
      <c r="AC20" s="1072"/>
      <c r="AD20" s="1072"/>
      <c r="AE20" s="1072"/>
      <c r="AF20" s="1072"/>
      <c r="AG20" s="1072"/>
      <c r="AH20" s="1072"/>
      <c r="AI20" s="1072"/>
      <c r="AJ20" s="1072"/>
      <c r="AK20" s="1072"/>
      <c r="AL20" s="1072"/>
      <c r="AM20" s="1072"/>
      <c r="AN20" s="1072"/>
      <c r="AO20" s="1072"/>
      <c r="AP20" s="1072"/>
      <c r="AQ20" s="1072"/>
      <c r="AR20" s="1072"/>
      <c r="AS20" s="1072"/>
      <c r="AT20" s="1072"/>
      <c r="AU20" s="1072"/>
      <c r="AV20" s="1072"/>
      <c r="AW20" s="1072"/>
      <c r="AX20" s="1072"/>
      <c r="AY20" s="1072"/>
      <c r="AZ20" s="1072"/>
      <c r="BA20" s="1072"/>
      <c r="BB20" s="1072"/>
      <c r="BC20" s="1072"/>
      <c r="BD20" s="1072"/>
      <c r="BE20" s="1072"/>
      <c r="BF20" s="1072"/>
      <c r="BG20" s="1072"/>
      <c r="BH20" s="1072"/>
      <c r="BI20" s="1073">
        <f t="shared" si="47"/>
        <v>0</v>
      </c>
      <c r="BJ20" s="1073">
        <f t="shared" si="48"/>
        <v>0</v>
      </c>
      <c r="BK20" s="1073">
        <f t="shared" si="49"/>
        <v>0</v>
      </c>
      <c r="BL20" s="1073">
        <f t="shared" si="50"/>
        <v>0</v>
      </c>
      <c r="BM20" s="508"/>
    </row>
    <row r="21" spans="1:65" ht="27" thickTop="1" thickBot="1">
      <c r="A21" s="509"/>
      <c r="B21" s="509"/>
      <c r="C21" s="511"/>
      <c r="D21" s="511"/>
      <c r="E21" s="510"/>
      <c r="F21" s="510"/>
      <c r="G21" s="509"/>
      <c r="H21" s="1071" t="str">
        <f>+'Anexo 1 Matriz Inf Gestión-GD'!A25</f>
        <v>3201.03.03. Participación en Mesas Regionales de Economía Circular en el marco de las Comisiones Regionales de Competitividad</v>
      </c>
      <c r="I21" s="1072"/>
      <c r="J21" s="1072"/>
      <c r="K21" s="1072"/>
      <c r="L21" s="1072"/>
      <c r="M21" s="1072"/>
      <c r="N21" s="1072"/>
      <c r="O21" s="1072"/>
      <c r="P21" s="1072"/>
      <c r="Q21" s="1072"/>
      <c r="R21" s="1072"/>
      <c r="S21" s="1072"/>
      <c r="T21" s="1072"/>
      <c r="U21" s="1072"/>
      <c r="V21" s="1072"/>
      <c r="W21" s="1072"/>
      <c r="X21" s="1072"/>
      <c r="Y21" s="1072"/>
      <c r="Z21" s="1072"/>
      <c r="AA21" s="1072"/>
      <c r="AB21" s="1072"/>
      <c r="AC21" s="1072"/>
      <c r="AD21" s="1072"/>
      <c r="AE21" s="1072"/>
      <c r="AF21" s="1072"/>
      <c r="AG21" s="1072"/>
      <c r="AH21" s="1072"/>
      <c r="AI21" s="1072"/>
      <c r="AJ21" s="1072"/>
      <c r="AK21" s="1072"/>
      <c r="AL21" s="1072"/>
      <c r="AM21" s="1072"/>
      <c r="AN21" s="1072"/>
      <c r="AO21" s="1072"/>
      <c r="AP21" s="1072"/>
      <c r="AQ21" s="1072"/>
      <c r="AR21" s="1072"/>
      <c r="AS21" s="1072"/>
      <c r="AT21" s="1072"/>
      <c r="AU21" s="1072"/>
      <c r="AV21" s="1072"/>
      <c r="AW21" s="1072"/>
      <c r="AX21" s="1072"/>
      <c r="AY21" s="1072"/>
      <c r="AZ21" s="1072"/>
      <c r="BA21" s="1072"/>
      <c r="BB21" s="1072"/>
      <c r="BC21" s="1072"/>
      <c r="BD21" s="1072"/>
      <c r="BE21" s="1072"/>
      <c r="BF21" s="1072"/>
      <c r="BG21" s="1072"/>
      <c r="BH21" s="1072"/>
      <c r="BI21" s="1073">
        <f t="shared" si="47"/>
        <v>0</v>
      </c>
      <c r="BJ21" s="1073">
        <f t="shared" si="48"/>
        <v>0</v>
      </c>
      <c r="BK21" s="1073">
        <f t="shared" si="49"/>
        <v>0</v>
      </c>
      <c r="BL21" s="1073">
        <f t="shared" si="50"/>
        <v>0</v>
      </c>
      <c r="BM21" s="508"/>
    </row>
    <row r="22" spans="1:65" ht="27" thickTop="1" thickBot="1">
      <c r="A22" s="1076"/>
      <c r="B22" s="1076"/>
      <c r="C22" s="1076"/>
      <c r="D22" s="1076"/>
      <c r="E22" s="509"/>
      <c r="F22" s="509"/>
      <c r="G22" s="509"/>
      <c r="H22" s="1071" t="str">
        <f>+'Anexo 1 Matriz Inf Gestión-GD'!A26</f>
        <v>3201.03.04 (A). seguimiento a la implementación de los PGIRS en el componente de aprovechamiento de residuos</v>
      </c>
      <c r="I22" s="1072"/>
      <c r="J22" s="1072"/>
      <c r="K22" s="1072"/>
      <c r="L22" s="1072"/>
      <c r="M22" s="1072"/>
      <c r="N22" s="1072"/>
      <c r="O22" s="1072"/>
      <c r="P22" s="1072"/>
      <c r="Q22" s="1072"/>
      <c r="R22" s="1072"/>
      <c r="S22" s="1072"/>
      <c r="T22" s="1072"/>
      <c r="U22" s="1072"/>
      <c r="V22" s="1072"/>
      <c r="W22" s="1072"/>
      <c r="X22" s="1072"/>
      <c r="Y22" s="1072"/>
      <c r="Z22" s="1072"/>
      <c r="AA22" s="1072"/>
      <c r="AB22" s="1072"/>
      <c r="AC22" s="1072"/>
      <c r="AD22" s="1072"/>
      <c r="AE22" s="1072"/>
      <c r="AF22" s="1072"/>
      <c r="AG22" s="1072"/>
      <c r="AH22" s="1072"/>
      <c r="AI22" s="1072"/>
      <c r="AJ22" s="1072"/>
      <c r="AK22" s="1072"/>
      <c r="AL22" s="1072"/>
      <c r="AM22" s="1072"/>
      <c r="AN22" s="1072"/>
      <c r="AO22" s="1072"/>
      <c r="AP22" s="1072"/>
      <c r="AQ22" s="1072"/>
      <c r="AR22" s="1072"/>
      <c r="AS22" s="1072"/>
      <c r="AT22" s="1072"/>
      <c r="AU22" s="1072"/>
      <c r="AV22" s="1072"/>
      <c r="AW22" s="1072"/>
      <c r="AX22" s="1072"/>
      <c r="AY22" s="1072"/>
      <c r="AZ22" s="1072"/>
      <c r="BA22" s="1072"/>
      <c r="BB22" s="1072"/>
      <c r="BC22" s="1072"/>
      <c r="BD22" s="1072"/>
      <c r="BE22" s="1072"/>
      <c r="BF22" s="1072"/>
      <c r="BG22" s="1072"/>
      <c r="BH22" s="1072"/>
      <c r="BI22" s="1073">
        <f t="shared" si="47"/>
        <v>0</v>
      </c>
      <c r="BJ22" s="1073">
        <f t="shared" si="48"/>
        <v>0</v>
      </c>
      <c r="BK22" s="1073">
        <f t="shared" si="49"/>
        <v>0</v>
      </c>
      <c r="BL22" s="1073">
        <f t="shared" si="50"/>
        <v>0</v>
      </c>
      <c r="BM22" s="508"/>
    </row>
    <row r="23" spans="1:65" ht="27" thickTop="1" thickBot="1">
      <c r="A23" s="509"/>
      <c r="B23" s="509"/>
      <c r="C23" s="511"/>
      <c r="D23" s="511"/>
      <c r="E23" s="510"/>
      <c r="F23" s="510"/>
      <c r="G23" s="509"/>
      <c r="H23" s="1071" t="str">
        <f>+'Anexo 1 Matriz Inf Gestión-GD'!A27</f>
        <v>3201.03.04 (B) Acompañamiento al proceso de actualización de los PGIRS, para garantizar inclusión de proyectos de aprovechamiento de residuos</v>
      </c>
      <c r="I23" s="1072"/>
      <c r="J23" s="1072"/>
      <c r="K23" s="1072"/>
      <c r="L23" s="1072"/>
      <c r="M23" s="1072"/>
      <c r="N23" s="1072"/>
      <c r="O23" s="1072"/>
      <c r="P23" s="1072"/>
      <c r="Q23" s="1072"/>
      <c r="R23" s="1072"/>
      <c r="S23" s="1072"/>
      <c r="T23" s="1072"/>
      <c r="U23" s="1072"/>
      <c r="V23" s="1072"/>
      <c r="W23" s="1072"/>
      <c r="X23" s="1072"/>
      <c r="Y23" s="1072"/>
      <c r="Z23" s="1072"/>
      <c r="AA23" s="1072"/>
      <c r="AB23" s="1072"/>
      <c r="AC23" s="1072"/>
      <c r="AD23" s="1072"/>
      <c r="AE23" s="1072"/>
      <c r="AF23" s="1072"/>
      <c r="AG23" s="1072"/>
      <c r="AH23" s="1072"/>
      <c r="AI23" s="1072"/>
      <c r="AJ23" s="1072"/>
      <c r="AK23" s="1072"/>
      <c r="AL23" s="1072"/>
      <c r="AM23" s="1072"/>
      <c r="AN23" s="1072"/>
      <c r="AO23" s="1072"/>
      <c r="AP23" s="1072"/>
      <c r="AQ23" s="1072"/>
      <c r="AR23" s="1072"/>
      <c r="AS23" s="1072"/>
      <c r="AT23" s="1072"/>
      <c r="AU23" s="1072"/>
      <c r="AV23" s="1072"/>
      <c r="AW23" s="1072"/>
      <c r="AX23" s="1072"/>
      <c r="AY23" s="1072"/>
      <c r="AZ23" s="1072"/>
      <c r="BA23" s="1072"/>
      <c r="BB23" s="1072"/>
      <c r="BC23" s="1072"/>
      <c r="BD23" s="1072"/>
      <c r="BE23" s="1072"/>
      <c r="BF23" s="1072"/>
      <c r="BG23" s="1072"/>
      <c r="BH23" s="1072"/>
      <c r="BI23" s="1073">
        <f t="shared" si="47"/>
        <v>0</v>
      </c>
      <c r="BJ23" s="1073">
        <f t="shared" si="48"/>
        <v>0</v>
      </c>
      <c r="BK23" s="1073">
        <f t="shared" si="49"/>
        <v>0</v>
      </c>
      <c r="BL23" s="1073">
        <f t="shared" si="50"/>
        <v>0</v>
      </c>
      <c r="BM23" s="508"/>
    </row>
    <row r="24" spans="1:65" ht="27" thickTop="1" thickBot="1">
      <c r="A24" s="1076"/>
      <c r="B24" s="1076"/>
      <c r="C24" s="1076"/>
      <c r="D24" s="1076"/>
      <c r="E24" s="509"/>
      <c r="F24" s="509"/>
      <c r="G24" s="509"/>
      <c r="H24" s="1071" t="str">
        <f>+'Anexo 1 Matriz Inf Gestión-GD'!A28</f>
        <v>3201.03.05. Apoyo al desarrollo de Proyectos pilotos de eliminación de plásticos de un solo uso. (hoteles, restaurantes y similares)</v>
      </c>
      <c r="I24" s="1072"/>
      <c r="J24" s="1072"/>
      <c r="K24" s="1072"/>
      <c r="L24" s="1072"/>
      <c r="M24" s="1072"/>
      <c r="N24" s="1072"/>
      <c r="O24" s="1072"/>
      <c r="P24" s="1072"/>
      <c r="Q24" s="1072"/>
      <c r="R24" s="1072"/>
      <c r="S24" s="1072"/>
      <c r="T24" s="1072"/>
      <c r="U24" s="1072"/>
      <c r="V24" s="1072"/>
      <c r="W24" s="1072"/>
      <c r="X24" s="1072"/>
      <c r="Y24" s="1072"/>
      <c r="Z24" s="1072"/>
      <c r="AA24" s="1072"/>
      <c r="AB24" s="1072"/>
      <c r="AC24" s="1072"/>
      <c r="AD24" s="1072"/>
      <c r="AE24" s="1072"/>
      <c r="AF24" s="1072"/>
      <c r="AG24" s="1072"/>
      <c r="AH24" s="1072"/>
      <c r="AI24" s="1072"/>
      <c r="AJ24" s="1072"/>
      <c r="AK24" s="1072"/>
      <c r="AL24" s="1072"/>
      <c r="AM24" s="1072"/>
      <c r="AN24" s="1072"/>
      <c r="AO24" s="1072"/>
      <c r="AP24" s="1072"/>
      <c r="AQ24" s="1072"/>
      <c r="AR24" s="1072"/>
      <c r="AS24" s="1072"/>
      <c r="AT24" s="1072"/>
      <c r="AU24" s="1072"/>
      <c r="AV24" s="1072"/>
      <c r="AW24" s="1072"/>
      <c r="AX24" s="1072"/>
      <c r="AY24" s="1072"/>
      <c r="AZ24" s="1072"/>
      <c r="BA24" s="1072"/>
      <c r="BB24" s="1072"/>
      <c r="BC24" s="1072"/>
      <c r="BD24" s="1072"/>
      <c r="BE24" s="1072"/>
      <c r="BF24" s="1072"/>
      <c r="BG24" s="1072"/>
      <c r="BH24" s="1072"/>
      <c r="BI24" s="1073">
        <f t="shared" si="47"/>
        <v>0</v>
      </c>
      <c r="BJ24" s="1073">
        <f t="shared" si="48"/>
        <v>0</v>
      </c>
      <c r="BK24" s="1073">
        <f t="shared" si="49"/>
        <v>0</v>
      </c>
      <c r="BL24" s="1073">
        <f t="shared" si="50"/>
        <v>0</v>
      </c>
      <c r="BM24" s="508"/>
    </row>
    <row r="25" spans="1:65" ht="27" thickTop="1" thickBot="1">
      <c r="A25" s="509"/>
      <c r="B25" s="509"/>
      <c r="C25" s="511"/>
      <c r="D25" s="511"/>
      <c r="E25" s="510"/>
      <c r="F25" s="510"/>
      <c r="G25" s="509"/>
      <c r="H25" s="1071" t="str">
        <f>+'Anexo 1 Matriz Inf Gestión-GD'!A29</f>
        <v xml:space="preserve">3201.03.06. Gestión para la implementación de proyectos pilotos de biocomercio y turismo rural en ecorregiones estratégicas </v>
      </c>
      <c r="I25" s="1072"/>
      <c r="J25" s="1072"/>
      <c r="K25" s="1072"/>
      <c r="L25" s="1072"/>
      <c r="M25" s="1072"/>
      <c r="N25" s="1072"/>
      <c r="O25" s="1072"/>
      <c r="P25" s="1072"/>
      <c r="Q25" s="1072"/>
      <c r="R25" s="1072"/>
      <c r="S25" s="1072"/>
      <c r="T25" s="1072"/>
      <c r="U25" s="1072"/>
      <c r="V25" s="1072"/>
      <c r="W25" s="1072"/>
      <c r="X25" s="1072"/>
      <c r="Y25" s="1072"/>
      <c r="Z25" s="1072"/>
      <c r="AA25" s="1072"/>
      <c r="AB25" s="1072"/>
      <c r="AC25" s="1072"/>
      <c r="AD25" s="1072"/>
      <c r="AE25" s="1072"/>
      <c r="AF25" s="1072"/>
      <c r="AG25" s="1072"/>
      <c r="AH25" s="1072"/>
      <c r="AI25" s="1072"/>
      <c r="AJ25" s="1072"/>
      <c r="AK25" s="1072"/>
      <c r="AL25" s="1072"/>
      <c r="AM25" s="1072"/>
      <c r="AN25" s="1072"/>
      <c r="AO25" s="1072"/>
      <c r="AP25" s="1072"/>
      <c r="AQ25" s="1072"/>
      <c r="AR25" s="1072"/>
      <c r="AS25" s="1072"/>
      <c r="AT25" s="1072"/>
      <c r="AU25" s="1072"/>
      <c r="AV25" s="1072"/>
      <c r="AW25" s="1072"/>
      <c r="AX25" s="1072"/>
      <c r="AY25" s="1072"/>
      <c r="AZ25" s="1072"/>
      <c r="BA25" s="1072"/>
      <c r="BB25" s="1072"/>
      <c r="BC25" s="1072"/>
      <c r="BD25" s="1072"/>
      <c r="BE25" s="1072"/>
      <c r="BF25" s="1072"/>
      <c r="BG25" s="1072"/>
      <c r="BH25" s="1072"/>
      <c r="BI25" s="1073">
        <f t="shared" si="47"/>
        <v>0</v>
      </c>
      <c r="BJ25" s="1073">
        <f t="shared" si="48"/>
        <v>0</v>
      </c>
      <c r="BK25" s="1073">
        <f t="shared" si="49"/>
        <v>0</v>
      </c>
      <c r="BL25" s="1073">
        <f t="shared" si="50"/>
        <v>0</v>
      </c>
      <c r="BM25" s="508"/>
    </row>
    <row r="26" spans="1:65" s="1098" customFormat="1" ht="27" thickTop="1" thickBot="1">
      <c r="A26" s="1094"/>
      <c r="B26" s="1094"/>
      <c r="C26" s="1094"/>
      <c r="D26" s="1094"/>
      <c r="E26" s="1087"/>
      <c r="F26" s="1087"/>
      <c r="G26" s="1094"/>
      <c r="H26" s="1095" t="str">
        <f>+'Anexo 1 Matriz Inf Gestión-GD'!A30</f>
        <v>Proyecto 3201.04. Apropiación de la Ciencia ambiental  y de la tecnología para promover la producción sostenible en el dpto. del Cesar</v>
      </c>
      <c r="I26" s="1096">
        <f>SUM(I27:I31)</f>
        <v>0</v>
      </c>
      <c r="J26" s="1096">
        <f t="shared" ref="J26:AL26" si="143">SUM(J27:J31)</f>
        <v>0</v>
      </c>
      <c r="K26" s="1096">
        <f t="shared" si="143"/>
        <v>0</v>
      </c>
      <c r="L26" s="1096">
        <f t="shared" si="143"/>
        <v>0</v>
      </c>
      <c r="M26" s="1096">
        <f t="shared" si="143"/>
        <v>0</v>
      </c>
      <c r="N26" s="1096">
        <f t="shared" si="143"/>
        <v>0</v>
      </c>
      <c r="O26" s="1096">
        <f t="shared" si="143"/>
        <v>0</v>
      </c>
      <c r="P26" s="1096">
        <f t="shared" si="143"/>
        <v>0</v>
      </c>
      <c r="Q26" s="1096">
        <f t="shared" si="143"/>
        <v>0</v>
      </c>
      <c r="R26" s="1096">
        <f t="shared" si="143"/>
        <v>0</v>
      </c>
      <c r="S26" s="1096">
        <f t="shared" si="143"/>
        <v>0</v>
      </c>
      <c r="T26" s="1096">
        <f t="shared" si="143"/>
        <v>0</v>
      </c>
      <c r="U26" s="1096">
        <f t="shared" si="143"/>
        <v>0</v>
      </c>
      <c r="V26" s="1096">
        <f t="shared" si="143"/>
        <v>0</v>
      </c>
      <c r="W26" s="1096">
        <f t="shared" si="143"/>
        <v>0</v>
      </c>
      <c r="X26" s="1096">
        <f t="shared" si="143"/>
        <v>0</v>
      </c>
      <c r="Y26" s="1096">
        <f t="shared" si="143"/>
        <v>0</v>
      </c>
      <c r="Z26" s="1096">
        <f t="shared" si="143"/>
        <v>0</v>
      </c>
      <c r="AA26" s="1096">
        <f t="shared" si="143"/>
        <v>0</v>
      </c>
      <c r="AB26" s="1096">
        <f t="shared" si="143"/>
        <v>0</v>
      </c>
      <c r="AC26" s="1096">
        <f t="shared" si="143"/>
        <v>0</v>
      </c>
      <c r="AD26" s="1096">
        <f t="shared" si="143"/>
        <v>0</v>
      </c>
      <c r="AE26" s="1096">
        <f t="shared" si="143"/>
        <v>0</v>
      </c>
      <c r="AF26" s="1096">
        <f t="shared" si="143"/>
        <v>0</v>
      </c>
      <c r="AG26" s="1096">
        <f t="shared" si="143"/>
        <v>0</v>
      </c>
      <c r="AH26" s="1096">
        <f t="shared" si="143"/>
        <v>0</v>
      </c>
      <c r="AI26" s="1096">
        <f t="shared" si="143"/>
        <v>0</v>
      </c>
      <c r="AJ26" s="1096">
        <f t="shared" si="143"/>
        <v>0</v>
      </c>
      <c r="AK26" s="1096">
        <f t="shared" si="143"/>
        <v>0</v>
      </c>
      <c r="AL26" s="1096">
        <f t="shared" si="143"/>
        <v>0</v>
      </c>
      <c r="AM26" s="1096">
        <f t="shared" ref="AM26" si="144">SUM(AM27:AM31)</f>
        <v>0</v>
      </c>
      <c r="AN26" s="1096">
        <f t="shared" ref="AN26" si="145">SUM(AN27:AN31)</f>
        <v>0</v>
      </c>
      <c r="AO26" s="1096">
        <f t="shared" ref="AO26" si="146">SUM(AO27:AO31)</f>
        <v>0</v>
      </c>
      <c r="AP26" s="1096">
        <f t="shared" ref="AP26" si="147">SUM(AP27:AP31)</f>
        <v>0</v>
      </c>
      <c r="AQ26" s="1096">
        <f t="shared" ref="AQ26" si="148">SUM(AQ27:AQ31)</f>
        <v>0</v>
      </c>
      <c r="AR26" s="1096">
        <f t="shared" ref="AR26" si="149">SUM(AR27:AR31)</f>
        <v>0</v>
      </c>
      <c r="AS26" s="1096">
        <f t="shared" ref="AS26" si="150">SUM(AS27:AS31)</f>
        <v>0</v>
      </c>
      <c r="AT26" s="1096">
        <f t="shared" ref="AT26" si="151">SUM(AT27:AT31)</f>
        <v>0</v>
      </c>
      <c r="AU26" s="1096">
        <f t="shared" ref="AU26" si="152">SUM(AU27:AU31)</f>
        <v>0</v>
      </c>
      <c r="AV26" s="1096">
        <f t="shared" ref="AV26" si="153">SUM(AV27:AV31)</f>
        <v>0</v>
      </c>
      <c r="AW26" s="1096">
        <f t="shared" ref="AW26" si="154">SUM(AW27:AW31)</f>
        <v>0</v>
      </c>
      <c r="AX26" s="1096">
        <f t="shared" ref="AX26" si="155">SUM(AX27:AX31)</f>
        <v>0</v>
      </c>
      <c r="AY26" s="1096">
        <f t="shared" ref="AY26" si="156">SUM(AY27:AY31)</f>
        <v>0</v>
      </c>
      <c r="AZ26" s="1096">
        <f t="shared" ref="AZ26" si="157">SUM(AZ27:AZ31)</f>
        <v>0</v>
      </c>
      <c r="BA26" s="1096">
        <f t="shared" ref="BA26" si="158">SUM(BA27:BA31)</f>
        <v>0</v>
      </c>
      <c r="BB26" s="1096">
        <f t="shared" ref="BB26" si="159">SUM(BB27:BB31)</f>
        <v>0</v>
      </c>
      <c r="BC26" s="1096">
        <f t="shared" ref="BC26" si="160">SUM(BC27:BC31)</f>
        <v>0</v>
      </c>
      <c r="BD26" s="1096">
        <f t="shared" ref="BD26" si="161">SUM(BD27:BD31)</f>
        <v>0</v>
      </c>
      <c r="BE26" s="1096">
        <f t="shared" ref="BE26" si="162">SUM(BE27:BE31)</f>
        <v>0</v>
      </c>
      <c r="BF26" s="1096">
        <f t="shared" ref="BF26" si="163">SUM(BF27:BF31)</f>
        <v>0</v>
      </c>
      <c r="BG26" s="1096">
        <f t="shared" ref="BG26" si="164">SUM(BG27:BG31)</f>
        <v>0</v>
      </c>
      <c r="BH26" s="1096">
        <f t="shared" ref="BH26" si="165">SUM(BH27:BH31)</f>
        <v>0</v>
      </c>
      <c r="BI26" s="1069">
        <f t="shared" si="47"/>
        <v>0</v>
      </c>
      <c r="BJ26" s="1069">
        <f t="shared" si="48"/>
        <v>0</v>
      </c>
      <c r="BK26" s="1069">
        <f t="shared" si="49"/>
        <v>0</v>
      </c>
      <c r="BL26" s="1069">
        <f t="shared" si="50"/>
        <v>0</v>
      </c>
      <c r="BM26" s="1097"/>
    </row>
    <row r="27" spans="1:65" s="1093" customFormat="1" ht="27" thickTop="1" thickBot="1">
      <c r="A27" s="513"/>
      <c r="B27" s="513"/>
      <c r="C27" s="513"/>
      <c r="D27" s="513"/>
      <c r="E27" s="1100"/>
      <c r="F27" s="1100"/>
      <c r="G27" s="1101"/>
      <c r="H27" s="1090" t="str">
        <f>+'Anexo 1 Matriz Inf Gestión-GD'!A31</f>
        <v xml:space="preserve">3201.04.01 Conocimiento de potencialidad, promoción y apoyo a la implementación de proyectos de Energías renovables </v>
      </c>
      <c r="I27" s="1091"/>
      <c r="J27" s="1091"/>
      <c r="K27" s="1091"/>
      <c r="L27" s="1091"/>
      <c r="M27" s="1091"/>
      <c r="N27" s="1091"/>
      <c r="O27" s="1091"/>
      <c r="P27" s="1091"/>
      <c r="Q27" s="1091"/>
      <c r="R27" s="1091"/>
      <c r="S27" s="1091"/>
      <c r="T27" s="1091"/>
      <c r="U27" s="1091"/>
      <c r="V27" s="1091"/>
      <c r="W27" s="1091"/>
      <c r="X27" s="1091"/>
      <c r="Y27" s="1091"/>
      <c r="Z27" s="1091"/>
      <c r="AA27" s="1091"/>
      <c r="AB27" s="1091"/>
      <c r="AC27" s="1091"/>
      <c r="AD27" s="1091"/>
      <c r="AE27" s="1091"/>
      <c r="AF27" s="1091"/>
      <c r="AG27" s="1091"/>
      <c r="AH27" s="1091"/>
      <c r="AI27" s="1091"/>
      <c r="AJ27" s="1091"/>
      <c r="AK27" s="1091"/>
      <c r="AL27" s="1091"/>
      <c r="AM27" s="1091"/>
      <c r="AN27" s="1091"/>
      <c r="AO27" s="1091"/>
      <c r="AP27" s="1091"/>
      <c r="AQ27" s="1091"/>
      <c r="AR27" s="1091"/>
      <c r="AS27" s="1091"/>
      <c r="AT27" s="1091"/>
      <c r="AU27" s="1091"/>
      <c r="AV27" s="1091"/>
      <c r="AW27" s="1091"/>
      <c r="AX27" s="1091"/>
      <c r="AY27" s="1091"/>
      <c r="AZ27" s="1091"/>
      <c r="BA27" s="1091"/>
      <c r="BB27" s="1091"/>
      <c r="BC27" s="1091"/>
      <c r="BD27" s="1091"/>
      <c r="BE27" s="1091"/>
      <c r="BF27" s="1091"/>
      <c r="BG27" s="1091"/>
      <c r="BH27" s="1091"/>
      <c r="BI27" s="1092">
        <f t="shared" si="47"/>
        <v>0</v>
      </c>
      <c r="BJ27" s="1092">
        <f t="shared" si="48"/>
        <v>0</v>
      </c>
      <c r="BK27" s="1092">
        <f t="shared" si="49"/>
        <v>0</v>
      </c>
      <c r="BL27" s="1092">
        <f t="shared" si="50"/>
        <v>0</v>
      </c>
      <c r="BM27" s="1089"/>
    </row>
    <row r="28" spans="1:65" ht="27" thickTop="1" thickBot="1">
      <c r="A28" s="1076"/>
      <c r="B28" s="1076"/>
      <c r="C28" s="1076"/>
      <c r="D28" s="1076"/>
      <c r="E28" s="509"/>
      <c r="F28" s="509"/>
      <c r="G28" s="509"/>
      <c r="H28" s="1071" t="str">
        <f>+'Anexo 1 Matriz Inf Gestión-GD'!A32</f>
        <v xml:space="preserve">3201.04.02 Promoción de procesos de mitigación y adaptación al cambio climático en Sectores productivos (Minería, agropecuario y comercio) </v>
      </c>
      <c r="I28" s="1072"/>
      <c r="J28" s="1072"/>
      <c r="K28" s="1072"/>
      <c r="L28" s="1072"/>
      <c r="M28" s="1072"/>
      <c r="N28" s="1072"/>
      <c r="O28" s="1072"/>
      <c r="P28" s="1072"/>
      <c r="Q28" s="1072"/>
      <c r="R28" s="1072"/>
      <c r="S28" s="1072"/>
      <c r="T28" s="1072"/>
      <c r="U28" s="1072"/>
      <c r="V28" s="1072"/>
      <c r="W28" s="1072"/>
      <c r="X28" s="1072"/>
      <c r="Y28" s="1072"/>
      <c r="Z28" s="1072"/>
      <c r="AA28" s="1072"/>
      <c r="AB28" s="1072"/>
      <c r="AC28" s="1072"/>
      <c r="AD28" s="1072"/>
      <c r="AE28" s="1072"/>
      <c r="AF28" s="1072"/>
      <c r="AG28" s="1072"/>
      <c r="AH28" s="1072"/>
      <c r="AI28" s="1072"/>
      <c r="AJ28" s="1072"/>
      <c r="AK28" s="1072"/>
      <c r="AL28" s="1072"/>
      <c r="AM28" s="1072"/>
      <c r="AN28" s="1072"/>
      <c r="AO28" s="1072"/>
      <c r="AP28" s="1072"/>
      <c r="AQ28" s="1072"/>
      <c r="AR28" s="1072"/>
      <c r="AS28" s="1072"/>
      <c r="AT28" s="1072"/>
      <c r="AU28" s="1072"/>
      <c r="AV28" s="1072"/>
      <c r="AW28" s="1072"/>
      <c r="AX28" s="1072"/>
      <c r="AY28" s="1072"/>
      <c r="AZ28" s="1072"/>
      <c r="BA28" s="1072"/>
      <c r="BB28" s="1072"/>
      <c r="BC28" s="1072"/>
      <c r="BD28" s="1072"/>
      <c r="BE28" s="1072"/>
      <c r="BF28" s="1072"/>
      <c r="BG28" s="1072"/>
      <c r="BH28" s="1072"/>
      <c r="BI28" s="1073">
        <f t="shared" si="47"/>
        <v>0</v>
      </c>
      <c r="BJ28" s="1073">
        <f t="shared" si="48"/>
        <v>0</v>
      </c>
      <c r="BK28" s="1073">
        <f t="shared" si="49"/>
        <v>0</v>
      </c>
      <c r="BL28" s="1073">
        <f t="shared" si="50"/>
        <v>0</v>
      </c>
      <c r="BM28" s="508"/>
    </row>
    <row r="29" spans="1:65" ht="27" thickTop="1" thickBot="1">
      <c r="A29" s="1079"/>
      <c r="B29" s="1079"/>
      <c r="C29" s="1079"/>
      <c r="D29" s="1079"/>
      <c r="E29" s="1079"/>
      <c r="F29" s="1079"/>
      <c r="G29" s="1079"/>
      <c r="H29" s="1071" t="str">
        <f>+'Anexo 1 Matriz Inf Gestión-GD'!A33</f>
        <v>3201.04.03. Valoración económica ambiental y cuantificación del capital natural en el PIB dptal.</v>
      </c>
      <c r="I29" s="1072"/>
      <c r="J29" s="1072"/>
      <c r="K29" s="1072"/>
      <c r="L29" s="1072"/>
      <c r="M29" s="1072"/>
      <c r="N29" s="1072"/>
      <c r="O29" s="1072"/>
      <c r="P29" s="1072"/>
      <c r="Q29" s="1072"/>
      <c r="R29" s="1072"/>
      <c r="S29" s="1072"/>
      <c r="T29" s="1072"/>
      <c r="U29" s="1072"/>
      <c r="V29" s="1072"/>
      <c r="W29" s="1072"/>
      <c r="X29" s="1072"/>
      <c r="Y29" s="1072"/>
      <c r="Z29" s="1072"/>
      <c r="AA29" s="1072"/>
      <c r="AB29" s="1072"/>
      <c r="AC29" s="1072"/>
      <c r="AD29" s="1072"/>
      <c r="AE29" s="1072"/>
      <c r="AF29" s="1072"/>
      <c r="AG29" s="1072"/>
      <c r="AH29" s="1072"/>
      <c r="AI29" s="1072"/>
      <c r="AJ29" s="1072"/>
      <c r="AK29" s="1072"/>
      <c r="AL29" s="1072"/>
      <c r="AM29" s="1072"/>
      <c r="AN29" s="1072"/>
      <c r="AO29" s="1072"/>
      <c r="AP29" s="1072"/>
      <c r="AQ29" s="1072"/>
      <c r="AR29" s="1072"/>
      <c r="AS29" s="1072"/>
      <c r="AT29" s="1072"/>
      <c r="AU29" s="1072"/>
      <c r="AV29" s="1072"/>
      <c r="AW29" s="1072"/>
      <c r="AX29" s="1072"/>
      <c r="AY29" s="1072"/>
      <c r="AZ29" s="1072"/>
      <c r="BA29" s="1072"/>
      <c r="BB29" s="1072"/>
      <c r="BC29" s="1072"/>
      <c r="BD29" s="1072"/>
      <c r="BE29" s="1072"/>
      <c r="BF29" s="1072"/>
      <c r="BG29" s="1072"/>
      <c r="BH29" s="1072"/>
      <c r="BI29" s="1073">
        <f t="shared" si="47"/>
        <v>0</v>
      </c>
      <c r="BJ29" s="1073">
        <f t="shared" si="48"/>
        <v>0</v>
      </c>
      <c r="BK29" s="1073">
        <f t="shared" si="49"/>
        <v>0</v>
      </c>
      <c r="BL29" s="1073">
        <f t="shared" si="50"/>
        <v>0</v>
      </c>
      <c r="BM29" s="508"/>
    </row>
    <row r="30" spans="1:65" s="1093" customFormat="1" ht="27" thickTop="1" thickBot="1">
      <c r="A30" s="513"/>
      <c r="B30" s="513"/>
      <c r="C30" s="513"/>
      <c r="D30" s="513"/>
      <c r="E30" s="1100"/>
      <c r="F30" s="1100"/>
      <c r="G30" s="1101"/>
      <c r="H30" s="1090" t="str">
        <f>+'Anexo 1 Matriz Inf Gestión-GD'!A34</f>
        <v>3201.04.04. Participación en procesos intersectoriales de Salud Ambiental de los COTSA, a través de las mesas técnicas conformadas.</v>
      </c>
      <c r="I30" s="1091"/>
      <c r="J30" s="1091"/>
      <c r="K30" s="1091"/>
      <c r="L30" s="1091"/>
      <c r="M30" s="1091"/>
      <c r="N30" s="1091"/>
      <c r="O30" s="1091"/>
      <c r="P30" s="1091"/>
      <c r="Q30" s="1091"/>
      <c r="R30" s="1091"/>
      <c r="S30" s="1091"/>
      <c r="T30" s="1091"/>
      <c r="U30" s="1091"/>
      <c r="V30" s="1091"/>
      <c r="W30" s="1091"/>
      <c r="X30" s="1091"/>
      <c r="Y30" s="1091"/>
      <c r="Z30" s="1091"/>
      <c r="AA30" s="1091"/>
      <c r="AB30" s="1091"/>
      <c r="AC30" s="1091"/>
      <c r="AD30" s="1091"/>
      <c r="AE30" s="1091"/>
      <c r="AF30" s="1091"/>
      <c r="AG30" s="1091"/>
      <c r="AH30" s="1091"/>
      <c r="AI30" s="1091"/>
      <c r="AJ30" s="1091"/>
      <c r="AK30" s="1091"/>
      <c r="AL30" s="1091"/>
      <c r="AM30" s="1091"/>
      <c r="AN30" s="1091"/>
      <c r="AO30" s="1091"/>
      <c r="AP30" s="1091"/>
      <c r="AQ30" s="1091"/>
      <c r="AR30" s="1091"/>
      <c r="AS30" s="1091"/>
      <c r="AT30" s="1091"/>
      <c r="AU30" s="1091"/>
      <c r="AV30" s="1091"/>
      <c r="AW30" s="1091"/>
      <c r="AX30" s="1091"/>
      <c r="AY30" s="1091"/>
      <c r="AZ30" s="1091"/>
      <c r="BA30" s="1091"/>
      <c r="BB30" s="1091"/>
      <c r="BC30" s="1091"/>
      <c r="BD30" s="1091"/>
      <c r="BE30" s="1091"/>
      <c r="BF30" s="1091"/>
      <c r="BG30" s="1091"/>
      <c r="BH30" s="1091"/>
      <c r="BI30" s="1092">
        <f t="shared" si="47"/>
        <v>0</v>
      </c>
      <c r="BJ30" s="1092">
        <f t="shared" si="48"/>
        <v>0</v>
      </c>
      <c r="BK30" s="1092">
        <f t="shared" si="49"/>
        <v>0</v>
      </c>
      <c r="BL30" s="1092">
        <f t="shared" si="50"/>
        <v>0</v>
      </c>
      <c r="BM30" s="1089"/>
    </row>
    <row r="31" spans="1:65" ht="27" thickTop="1" thickBot="1">
      <c r="A31" s="1079"/>
      <c r="B31" s="1079"/>
      <c r="C31" s="1079"/>
      <c r="D31" s="1079"/>
      <c r="E31" s="1079"/>
      <c r="F31" s="1079"/>
      <c r="G31" s="1079"/>
      <c r="H31" s="1071" t="str">
        <f>+'Anexo 1 Matriz Inf Gestión-GD'!A35</f>
        <v>3201.04.05. Apoyo a la Implementación la Política Integral de Salud Ambiental a nivel territorial, desde las competencias de las CAR.</v>
      </c>
      <c r="I31" s="1072"/>
      <c r="J31" s="1072"/>
      <c r="K31" s="1072"/>
      <c r="L31" s="1072"/>
      <c r="M31" s="1072"/>
      <c r="N31" s="1072"/>
      <c r="O31" s="1072"/>
      <c r="P31" s="1072"/>
      <c r="Q31" s="1072"/>
      <c r="R31" s="1072"/>
      <c r="S31" s="1072"/>
      <c r="T31" s="1072"/>
      <c r="U31" s="1072"/>
      <c r="V31" s="1072"/>
      <c r="W31" s="1072"/>
      <c r="X31" s="1072"/>
      <c r="Y31" s="1072"/>
      <c r="Z31" s="1072"/>
      <c r="AA31" s="1072"/>
      <c r="AB31" s="1072"/>
      <c r="AC31" s="1072"/>
      <c r="AD31" s="1072"/>
      <c r="AE31" s="1072"/>
      <c r="AF31" s="1072"/>
      <c r="AG31" s="1072"/>
      <c r="AH31" s="1072"/>
      <c r="AI31" s="1072"/>
      <c r="AJ31" s="1072"/>
      <c r="AK31" s="1072"/>
      <c r="AL31" s="1072"/>
      <c r="AM31" s="1072"/>
      <c r="AN31" s="1072"/>
      <c r="AO31" s="1072"/>
      <c r="AP31" s="1072"/>
      <c r="AQ31" s="1072"/>
      <c r="AR31" s="1072"/>
      <c r="AS31" s="1072"/>
      <c r="AT31" s="1072"/>
      <c r="AU31" s="1072"/>
      <c r="AV31" s="1072"/>
      <c r="AW31" s="1072"/>
      <c r="AX31" s="1072"/>
      <c r="AY31" s="1072"/>
      <c r="AZ31" s="1072"/>
      <c r="BA31" s="1072"/>
      <c r="BB31" s="1072"/>
      <c r="BC31" s="1072"/>
      <c r="BD31" s="1072"/>
      <c r="BE31" s="1072"/>
      <c r="BF31" s="1072"/>
      <c r="BG31" s="1072"/>
      <c r="BH31" s="1072"/>
      <c r="BI31" s="1073">
        <f t="shared" si="47"/>
        <v>0</v>
      </c>
      <c r="BJ31" s="1073">
        <f t="shared" si="48"/>
        <v>0</v>
      </c>
      <c r="BK31" s="1073">
        <f t="shared" si="49"/>
        <v>0</v>
      </c>
      <c r="BL31" s="1073">
        <f t="shared" si="50"/>
        <v>0</v>
      </c>
      <c r="BM31" s="508"/>
    </row>
    <row r="32" spans="1:65" s="1098" customFormat="1" ht="27" thickTop="1" thickBot="1">
      <c r="A32" s="1094"/>
      <c r="B32" s="1094"/>
      <c r="C32" s="1094"/>
      <c r="D32" s="1094"/>
      <c r="E32" s="1087"/>
      <c r="F32" s="1087"/>
      <c r="G32" s="1094"/>
      <c r="H32" s="1095" t="str">
        <f>+'Anexo 1 Matriz Inf Gestión-GD'!A36</f>
        <v xml:space="preserve">Proyecto 3201.05. Gestión integral  del suelo  para la recuperación de este recurso natural  en el departamento del Cesar.  </v>
      </c>
      <c r="I32" s="1096">
        <f>SUM(I33:I37)</f>
        <v>0</v>
      </c>
      <c r="J32" s="1096">
        <f t="shared" ref="J32:AL32" si="166">SUM(J33:J37)</f>
        <v>0</v>
      </c>
      <c r="K32" s="1096">
        <f t="shared" si="166"/>
        <v>0</v>
      </c>
      <c r="L32" s="1096">
        <f t="shared" si="166"/>
        <v>0</v>
      </c>
      <c r="M32" s="1096">
        <f t="shared" si="166"/>
        <v>0</v>
      </c>
      <c r="N32" s="1096">
        <f t="shared" si="166"/>
        <v>0</v>
      </c>
      <c r="O32" s="1096">
        <f t="shared" si="166"/>
        <v>0</v>
      </c>
      <c r="P32" s="1096">
        <f t="shared" si="166"/>
        <v>0</v>
      </c>
      <c r="Q32" s="1096">
        <f t="shared" si="166"/>
        <v>0</v>
      </c>
      <c r="R32" s="1096">
        <f t="shared" si="166"/>
        <v>0</v>
      </c>
      <c r="S32" s="1096">
        <f t="shared" si="166"/>
        <v>0</v>
      </c>
      <c r="T32" s="1096">
        <f t="shared" si="166"/>
        <v>0</v>
      </c>
      <c r="U32" s="1096">
        <f t="shared" si="166"/>
        <v>0</v>
      </c>
      <c r="V32" s="1096">
        <f t="shared" si="166"/>
        <v>0</v>
      </c>
      <c r="W32" s="1096">
        <f t="shared" si="166"/>
        <v>0</v>
      </c>
      <c r="X32" s="1096">
        <f t="shared" si="166"/>
        <v>0</v>
      </c>
      <c r="Y32" s="1096">
        <f t="shared" si="166"/>
        <v>0</v>
      </c>
      <c r="Z32" s="1096">
        <f t="shared" si="166"/>
        <v>0</v>
      </c>
      <c r="AA32" s="1096">
        <f t="shared" si="166"/>
        <v>0</v>
      </c>
      <c r="AB32" s="1096">
        <f t="shared" si="166"/>
        <v>0</v>
      </c>
      <c r="AC32" s="1096">
        <f t="shared" si="166"/>
        <v>0</v>
      </c>
      <c r="AD32" s="1096">
        <f t="shared" si="166"/>
        <v>0</v>
      </c>
      <c r="AE32" s="1096">
        <f t="shared" si="166"/>
        <v>0</v>
      </c>
      <c r="AF32" s="1096">
        <f t="shared" si="166"/>
        <v>0</v>
      </c>
      <c r="AG32" s="1096">
        <f t="shared" si="166"/>
        <v>0</v>
      </c>
      <c r="AH32" s="1096">
        <f t="shared" si="166"/>
        <v>0</v>
      </c>
      <c r="AI32" s="1096">
        <f t="shared" si="166"/>
        <v>0</v>
      </c>
      <c r="AJ32" s="1096">
        <f t="shared" si="166"/>
        <v>0</v>
      </c>
      <c r="AK32" s="1096">
        <f t="shared" si="166"/>
        <v>0</v>
      </c>
      <c r="AL32" s="1096">
        <f t="shared" si="166"/>
        <v>0</v>
      </c>
      <c r="AM32" s="1096">
        <f t="shared" ref="AM32" si="167">SUM(AM33:AM37)</f>
        <v>0</v>
      </c>
      <c r="AN32" s="1096">
        <f t="shared" ref="AN32" si="168">SUM(AN33:AN37)</f>
        <v>0</v>
      </c>
      <c r="AO32" s="1096">
        <f t="shared" ref="AO32" si="169">SUM(AO33:AO37)</f>
        <v>0</v>
      </c>
      <c r="AP32" s="1096">
        <f t="shared" ref="AP32" si="170">SUM(AP33:AP37)</f>
        <v>0</v>
      </c>
      <c r="AQ32" s="1096">
        <f t="shared" ref="AQ32" si="171">SUM(AQ33:AQ37)</f>
        <v>0</v>
      </c>
      <c r="AR32" s="1096">
        <f t="shared" ref="AR32" si="172">SUM(AR33:AR37)</f>
        <v>0</v>
      </c>
      <c r="AS32" s="1096">
        <f t="shared" ref="AS32" si="173">SUM(AS33:AS37)</f>
        <v>0</v>
      </c>
      <c r="AT32" s="1096">
        <f t="shared" ref="AT32" si="174">SUM(AT33:AT37)</f>
        <v>0</v>
      </c>
      <c r="AU32" s="1096">
        <f t="shared" ref="AU32" si="175">SUM(AU33:AU37)</f>
        <v>0</v>
      </c>
      <c r="AV32" s="1096">
        <f t="shared" ref="AV32" si="176">SUM(AV33:AV37)</f>
        <v>0</v>
      </c>
      <c r="AW32" s="1096">
        <f t="shared" ref="AW32" si="177">SUM(AW33:AW37)</f>
        <v>0</v>
      </c>
      <c r="AX32" s="1096">
        <f t="shared" ref="AX32" si="178">SUM(AX33:AX37)</f>
        <v>0</v>
      </c>
      <c r="AY32" s="1096">
        <f t="shared" ref="AY32" si="179">SUM(AY33:AY37)</f>
        <v>0</v>
      </c>
      <c r="AZ32" s="1096">
        <f t="shared" ref="AZ32" si="180">SUM(AZ33:AZ37)</f>
        <v>0</v>
      </c>
      <c r="BA32" s="1096">
        <f t="shared" ref="BA32" si="181">SUM(BA33:BA37)</f>
        <v>0</v>
      </c>
      <c r="BB32" s="1096">
        <f t="shared" ref="BB32" si="182">SUM(BB33:BB37)</f>
        <v>0</v>
      </c>
      <c r="BC32" s="1096">
        <f t="shared" ref="BC32" si="183">SUM(BC33:BC37)</f>
        <v>0</v>
      </c>
      <c r="BD32" s="1096">
        <f t="shared" ref="BD32" si="184">SUM(BD33:BD37)</f>
        <v>0</v>
      </c>
      <c r="BE32" s="1096">
        <f t="shared" ref="BE32" si="185">SUM(BE33:BE37)</f>
        <v>0</v>
      </c>
      <c r="BF32" s="1096">
        <f t="shared" ref="BF32" si="186">SUM(BF33:BF37)</f>
        <v>0</v>
      </c>
      <c r="BG32" s="1096">
        <f t="shared" ref="BG32" si="187">SUM(BG33:BG37)</f>
        <v>0</v>
      </c>
      <c r="BH32" s="1096">
        <f t="shared" ref="BH32" si="188">SUM(BH33:BH37)</f>
        <v>0</v>
      </c>
      <c r="BI32" s="1069">
        <f t="shared" si="47"/>
        <v>0</v>
      </c>
      <c r="BJ32" s="1069">
        <f t="shared" si="48"/>
        <v>0</v>
      </c>
      <c r="BK32" s="1069">
        <f t="shared" si="49"/>
        <v>0</v>
      </c>
      <c r="BL32" s="1069">
        <f t="shared" si="50"/>
        <v>0</v>
      </c>
      <c r="BM32" s="1097"/>
    </row>
    <row r="33" spans="1:65" ht="52.5" thickTop="1" thickBot="1">
      <c r="A33" s="1079"/>
      <c r="B33" s="1079"/>
      <c r="C33" s="1079"/>
      <c r="D33" s="1079"/>
      <c r="E33" s="1079"/>
      <c r="F33" s="1079"/>
      <c r="G33" s="1079"/>
      <c r="H33" s="1071" t="str">
        <f>+'Anexo 1 Matriz Inf Gestión-GD'!A37</f>
        <v xml:space="preserve">3201.05.01 Implementación de las acciones planteadas en el PAR para mitigar los efectos de la desertificación y la sequía en armonía con el proyecto 1.1 (estrategia de reforestación, restauración, agricultura y ganadería sostenible, estufas ecológicas, monitoreo </v>
      </c>
      <c r="I33" s="1072"/>
      <c r="J33" s="1072"/>
      <c r="K33" s="1072"/>
      <c r="L33" s="1072"/>
      <c r="M33" s="1072"/>
      <c r="N33" s="1072"/>
      <c r="O33" s="1072"/>
      <c r="P33" s="1072"/>
      <c r="Q33" s="1072"/>
      <c r="R33" s="1072"/>
      <c r="S33" s="1072"/>
      <c r="T33" s="1072"/>
      <c r="U33" s="1072"/>
      <c r="V33" s="1072"/>
      <c r="W33" s="1072"/>
      <c r="X33" s="1072"/>
      <c r="Y33" s="1072"/>
      <c r="Z33" s="1072"/>
      <c r="AA33" s="1072"/>
      <c r="AB33" s="1072"/>
      <c r="AC33" s="1072"/>
      <c r="AD33" s="1072"/>
      <c r="AE33" s="1072"/>
      <c r="AF33" s="1072"/>
      <c r="AG33" s="1072"/>
      <c r="AH33" s="1072"/>
      <c r="AI33" s="1072"/>
      <c r="AJ33" s="1072"/>
      <c r="AK33" s="1072"/>
      <c r="AL33" s="1072"/>
      <c r="AM33" s="1072"/>
      <c r="AN33" s="1072"/>
      <c r="AO33" s="1072"/>
      <c r="AP33" s="1072"/>
      <c r="AQ33" s="1072"/>
      <c r="AR33" s="1072"/>
      <c r="AS33" s="1072"/>
      <c r="AT33" s="1072"/>
      <c r="AU33" s="1072"/>
      <c r="AV33" s="1072"/>
      <c r="AW33" s="1072"/>
      <c r="AX33" s="1072"/>
      <c r="AY33" s="1072"/>
      <c r="AZ33" s="1072"/>
      <c r="BA33" s="1072"/>
      <c r="BB33" s="1072"/>
      <c r="BC33" s="1072"/>
      <c r="BD33" s="1072"/>
      <c r="BE33" s="1072"/>
      <c r="BF33" s="1072"/>
      <c r="BG33" s="1072"/>
      <c r="BH33" s="1072"/>
      <c r="BI33" s="1073">
        <f t="shared" si="47"/>
        <v>0</v>
      </c>
      <c r="BJ33" s="1073">
        <f t="shared" si="48"/>
        <v>0</v>
      </c>
      <c r="BK33" s="1073">
        <f t="shared" si="49"/>
        <v>0</v>
      </c>
      <c r="BL33" s="1073">
        <f t="shared" si="50"/>
        <v>0</v>
      </c>
      <c r="BM33" s="508"/>
    </row>
    <row r="34" spans="1:65" ht="27" thickTop="1" thickBot="1">
      <c r="A34" s="1079"/>
      <c r="B34" s="1079"/>
      <c r="C34" s="1079"/>
      <c r="D34" s="1079"/>
      <c r="E34" s="1079"/>
      <c r="F34" s="510"/>
      <c r="G34" s="509"/>
      <c r="H34" s="1071" t="str">
        <f>+'Anexo 1 Matriz Inf Gestión-GD'!A38</f>
        <v xml:space="preserve">3201.05.03 Actualizar e implementar el plan de gestión Integral de residuos peligrosos en el marco de la política RESPEL junto al cumplimiento de la Directiva ministerial 2019 </v>
      </c>
      <c r="I34" s="1072"/>
      <c r="J34" s="1072"/>
      <c r="K34" s="1072"/>
      <c r="L34" s="1072"/>
      <c r="M34" s="1072"/>
      <c r="N34" s="1072"/>
      <c r="O34" s="1072"/>
      <c r="P34" s="1072"/>
      <c r="Q34" s="1072"/>
      <c r="R34" s="1072"/>
      <c r="S34" s="1072"/>
      <c r="T34" s="1072"/>
      <c r="U34" s="1072"/>
      <c r="V34" s="1072"/>
      <c r="W34" s="1072"/>
      <c r="X34" s="1072"/>
      <c r="Y34" s="1072"/>
      <c r="Z34" s="1072"/>
      <c r="AA34" s="1072"/>
      <c r="AB34" s="1072"/>
      <c r="AC34" s="1072"/>
      <c r="AD34" s="1072"/>
      <c r="AE34" s="1072"/>
      <c r="AF34" s="1072"/>
      <c r="AG34" s="1072"/>
      <c r="AH34" s="1072"/>
      <c r="AI34" s="1072"/>
      <c r="AJ34" s="1072"/>
      <c r="AK34" s="1072"/>
      <c r="AL34" s="1072"/>
      <c r="AM34" s="1072"/>
      <c r="AN34" s="1072"/>
      <c r="AO34" s="1072"/>
      <c r="AP34" s="1072"/>
      <c r="AQ34" s="1072"/>
      <c r="AR34" s="1072"/>
      <c r="AS34" s="1072"/>
      <c r="AT34" s="1072"/>
      <c r="AU34" s="1072"/>
      <c r="AV34" s="1072"/>
      <c r="AW34" s="1072"/>
      <c r="AX34" s="1072"/>
      <c r="AY34" s="1072"/>
      <c r="AZ34" s="1072"/>
      <c r="BA34" s="1072"/>
      <c r="BB34" s="1072"/>
      <c r="BC34" s="1072"/>
      <c r="BD34" s="1072"/>
      <c r="BE34" s="1072"/>
      <c r="BF34" s="1072"/>
      <c r="BG34" s="1072"/>
      <c r="BH34" s="1072"/>
      <c r="BI34" s="1073">
        <f t="shared" si="47"/>
        <v>0</v>
      </c>
      <c r="BJ34" s="1073">
        <f t="shared" si="48"/>
        <v>0</v>
      </c>
      <c r="BK34" s="1073">
        <f t="shared" si="49"/>
        <v>0</v>
      </c>
      <c r="BL34" s="1073">
        <f t="shared" si="50"/>
        <v>0</v>
      </c>
      <c r="BM34" s="508"/>
    </row>
    <row r="35" spans="1:65" ht="27" thickTop="1" thickBot="1">
      <c r="A35" s="1079"/>
      <c r="B35" s="1079"/>
      <c r="C35" s="1079"/>
      <c r="D35" s="1079"/>
      <c r="E35" s="1079"/>
      <c r="F35" s="1079"/>
      <c r="G35" s="1079"/>
      <c r="H35" s="1071" t="str">
        <f>+'Anexo 1 Matriz Inf Gestión-GD'!A39</f>
        <v>3201.05.02 Generación de espacios académicos para el conocimiento del recurso suelo (posibles alianzas con la academia)</v>
      </c>
      <c r="I35" s="1072"/>
      <c r="J35" s="1072"/>
      <c r="K35" s="1072"/>
      <c r="L35" s="1072"/>
      <c r="M35" s="1072"/>
      <c r="N35" s="1072"/>
      <c r="O35" s="1072"/>
      <c r="P35" s="1072"/>
      <c r="Q35" s="1072"/>
      <c r="R35" s="1072"/>
      <c r="S35" s="1072"/>
      <c r="T35" s="1072"/>
      <c r="U35" s="1072"/>
      <c r="V35" s="1072"/>
      <c r="W35" s="1072"/>
      <c r="X35" s="1072"/>
      <c r="Y35" s="1072"/>
      <c r="Z35" s="1072"/>
      <c r="AA35" s="1072"/>
      <c r="AB35" s="1072"/>
      <c r="AC35" s="1072"/>
      <c r="AD35" s="1072"/>
      <c r="AE35" s="1072"/>
      <c r="AF35" s="1072"/>
      <c r="AG35" s="1072"/>
      <c r="AH35" s="1072"/>
      <c r="AI35" s="1072"/>
      <c r="AJ35" s="1072"/>
      <c r="AK35" s="1072"/>
      <c r="AL35" s="1072"/>
      <c r="AM35" s="1072"/>
      <c r="AN35" s="1072"/>
      <c r="AO35" s="1072"/>
      <c r="AP35" s="1072"/>
      <c r="AQ35" s="1072"/>
      <c r="AR35" s="1072"/>
      <c r="AS35" s="1072"/>
      <c r="AT35" s="1072"/>
      <c r="AU35" s="1072"/>
      <c r="AV35" s="1072"/>
      <c r="AW35" s="1072"/>
      <c r="AX35" s="1072"/>
      <c r="AY35" s="1072"/>
      <c r="AZ35" s="1072"/>
      <c r="BA35" s="1072"/>
      <c r="BB35" s="1072"/>
      <c r="BC35" s="1072"/>
      <c r="BD35" s="1072"/>
      <c r="BE35" s="1072"/>
      <c r="BF35" s="1072"/>
      <c r="BG35" s="1072"/>
      <c r="BH35" s="1072"/>
      <c r="BI35" s="1073">
        <f t="shared" si="47"/>
        <v>0</v>
      </c>
      <c r="BJ35" s="1073">
        <f t="shared" si="48"/>
        <v>0</v>
      </c>
      <c r="BK35" s="1073">
        <f t="shared" si="49"/>
        <v>0</v>
      </c>
      <c r="BL35" s="1073">
        <f t="shared" si="50"/>
        <v>0</v>
      </c>
      <c r="BM35" s="508"/>
    </row>
    <row r="36" spans="1:65" ht="39.75" thickTop="1" thickBot="1">
      <c r="A36" s="1079"/>
      <c r="B36" s="1079"/>
      <c r="C36" s="1079"/>
      <c r="D36" s="1079"/>
      <c r="E36" s="1079"/>
      <c r="F36" s="510"/>
      <c r="G36" s="509"/>
      <c r="H36" s="1071" t="str">
        <f>+'Anexo 1 Matriz Inf Gestión-GD'!A40</f>
        <v>3201.05.05 Capacitación y desarrollo de campañas a los diferentes actores sobre el manejo ambientalmente racional de RESPEL y fortalececimiento de las actividades de IVC a generadores e instalaciones licenciadas</v>
      </c>
      <c r="I36" s="1072"/>
      <c r="J36" s="1072"/>
      <c r="K36" s="1072"/>
      <c r="L36" s="1072"/>
      <c r="M36" s="1072"/>
      <c r="N36" s="1072"/>
      <c r="O36" s="1072"/>
      <c r="P36" s="1072"/>
      <c r="Q36" s="1072"/>
      <c r="R36" s="1072"/>
      <c r="S36" s="1072"/>
      <c r="T36" s="1072"/>
      <c r="U36" s="1072"/>
      <c r="V36" s="1072"/>
      <c r="W36" s="1072"/>
      <c r="X36" s="1072"/>
      <c r="Y36" s="1072"/>
      <c r="Z36" s="1072"/>
      <c r="AA36" s="1072"/>
      <c r="AB36" s="1072"/>
      <c r="AC36" s="1072"/>
      <c r="AD36" s="1072"/>
      <c r="AE36" s="1072"/>
      <c r="AF36" s="1072"/>
      <c r="AG36" s="1072"/>
      <c r="AH36" s="1072"/>
      <c r="AI36" s="1072"/>
      <c r="AJ36" s="1072"/>
      <c r="AK36" s="1072"/>
      <c r="AL36" s="1072"/>
      <c r="AM36" s="1072"/>
      <c r="AN36" s="1072"/>
      <c r="AO36" s="1072"/>
      <c r="AP36" s="1072"/>
      <c r="AQ36" s="1072"/>
      <c r="AR36" s="1072"/>
      <c r="AS36" s="1072"/>
      <c r="AT36" s="1072"/>
      <c r="AU36" s="1072"/>
      <c r="AV36" s="1072"/>
      <c r="AW36" s="1072"/>
      <c r="AX36" s="1072"/>
      <c r="AY36" s="1072"/>
      <c r="AZ36" s="1072"/>
      <c r="BA36" s="1072"/>
      <c r="BB36" s="1072"/>
      <c r="BC36" s="1072"/>
      <c r="BD36" s="1072"/>
      <c r="BE36" s="1072"/>
      <c r="BF36" s="1072"/>
      <c r="BG36" s="1072"/>
      <c r="BH36" s="1072"/>
      <c r="BI36" s="1073">
        <f t="shared" si="47"/>
        <v>0</v>
      </c>
      <c r="BJ36" s="1073">
        <f t="shared" si="48"/>
        <v>0</v>
      </c>
      <c r="BK36" s="1073">
        <f t="shared" si="49"/>
        <v>0</v>
      </c>
      <c r="BL36" s="1073">
        <f t="shared" si="50"/>
        <v>0</v>
      </c>
      <c r="BM36" s="508"/>
    </row>
    <row r="37" spans="1:65" s="1093" customFormat="1" ht="27" thickTop="1" thickBot="1">
      <c r="A37" s="513"/>
      <c r="B37" s="513"/>
      <c r="C37" s="513"/>
      <c r="D37" s="513"/>
      <c r="E37" s="1100"/>
      <c r="F37" s="1100"/>
      <c r="G37" s="1101"/>
      <c r="H37" s="1090" t="str">
        <f>+'Anexo 1 Matriz Inf Gestión-GD'!A41</f>
        <v>3201.05.04 Mejoramento del proceso de validación de información del Registro de Generadores de RESPEL y del Inventario Nacional de PCB</v>
      </c>
      <c r="I37" s="1091"/>
      <c r="J37" s="1091"/>
      <c r="K37" s="1091"/>
      <c r="L37" s="1091"/>
      <c r="M37" s="1091"/>
      <c r="N37" s="1091"/>
      <c r="O37" s="1091"/>
      <c r="P37" s="1091"/>
      <c r="Q37" s="1091"/>
      <c r="R37" s="1091"/>
      <c r="S37" s="1091"/>
      <c r="T37" s="1091"/>
      <c r="U37" s="1091"/>
      <c r="V37" s="1091"/>
      <c r="W37" s="1091"/>
      <c r="X37" s="1091"/>
      <c r="Y37" s="1091"/>
      <c r="Z37" s="1091"/>
      <c r="AA37" s="1091"/>
      <c r="AB37" s="1091"/>
      <c r="AC37" s="1091"/>
      <c r="AD37" s="1091"/>
      <c r="AE37" s="1091"/>
      <c r="AF37" s="1091"/>
      <c r="AG37" s="1091"/>
      <c r="AH37" s="1091"/>
      <c r="AI37" s="1091"/>
      <c r="AJ37" s="1091"/>
      <c r="AK37" s="1091"/>
      <c r="AL37" s="1091"/>
      <c r="AM37" s="1091"/>
      <c r="AN37" s="1091"/>
      <c r="AO37" s="1091"/>
      <c r="AP37" s="1091"/>
      <c r="AQ37" s="1091"/>
      <c r="AR37" s="1091"/>
      <c r="AS37" s="1091"/>
      <c r="AT37" s="1091"/>
      <c r="AU37" s="1091"/>
      <c r="AV37" s="1091"/>
      <c r="AW37" s="1091"/>
      <c r="AX37" s="1091"/>
      <c r="AY37" s="1091"/>
      <c r="AZ37" s="1091"/>
      <c r="BA37" s="1091"/>
      <c r="BB37" s="1091"/>
      <c r="BC37" s="1091"/>
      <c r="BD37" s="1091"/>
      <c r="BE37" s="1091"/>
      <c r="BF37" s="1091"/>
      <c r="BG37" s="1091"/>
      <c r="BH37" s="1091"/>
      <c r="BI37" s="1092">
        <f t="shared" si="47"/>
        <v>0</v>
      </c>
      <c r="BJ37" s="1092">
        <f t="shared" si="48"/>
        <v>0</v>
      </c>
      <c r="BK37" s="1092">
        <f t="shared" si="49"/>
        <v>0</v>
      </c>
      <c r="BL37" s="1092">
        <f t="shared" si="50"/>
        <v>0</v>
      </c>
      <c r="BM37" s="1089"/>
    </row>
    <row r="38" spans="1:65" s="1098" customFormat="1" ht="27" thickTop="1" thickBot="1">
      <c r="A38" s="1094"/>
      <c r="B38" s="1094"/>
      <c r="C38" s="1094"/>
      <c r="D38" s="1094"/>
      <c r="E38" s="1087"/>
      <c r="F38" s="1087"/>
      <c r="G38" s="1094"/>
      <c r="H38" s="1095" t="str">
        <f>+'Anexo 1 Matriz Inf Gestión-GD'!A42</f>
        <v>Proyecto 3201.06. Gestión integral del recurso aire, articulada a  la prioridad regional del MADS,  en áreas estratégicas del dpto del Cesar</v>
      </c>
      <c r="I38" s="1096">
        <f>SUM(I39:I47)</f>
        <v>0</v>
      </c>
      <c r="J38" s="1096">
        <f t="shared" ref="J38:AL38" si="189">SUM(J39:J47)</f>
        <v>0</v>
      </c>
      <c r="K38" s="1096">
        <f t="shared" si="189"/>
        <v>0</v>
      </c>
      <c r="L38" s="1096">
        <f t="shared" si="189"/>
        <v>0</v>
      </c>
      <c r="M38" s="1096">
        <f t="shared" si="189"/>
        <v>0</v>
      </c>
      <c r="N38" s="1096">
        <f t="shared" si="189"/>
        <v>0</v>
      </c>
      <c r="O38" s="1096">
        <f t="shared" si="189"/>
        <v>0</v>
      </c>
      <c r="P38" s="1096">
        <f t="shared" si="189"/>
        <v>0</v>
      </c>
      <c r="Q38" s="1096">
        <f t="shared" si="189"/>
        <v>0</v>
      </c>
      <c r="R38" s="1096">
        <f t="shared" si="189"/>
        <v>0</v>
      </c>
      <c r="S38" s="1096">
        <f t="shared" si="189"/>
        <v>0</v>
      </c>
      <c r="T38" s="1096">
        <f t="shared" si="189"/>
        <v>0</v>
      </c>
      <c r="U38" s="1096">
        <f t="shared" si="189"/>
        <v>0</v>
      </c>
      <c r="V38" s="1096">
        <f t="shared" si="189"/>
        <v>0</v>
      </c>
      <c r="W38" s="1096">
        <f t="shared" si="189"/>
        <v>0</v>
      </c>
      <c r="X38" s="1096">
        <f t="shared" si="189"/>
        <v>0</v>
      </c>
      <c r="Y38" s="1096">
        <f t="shared" si="189"/>
        <v>0</v>
      </c>
      <c r="Z38" s="1096">
        <f t="shared" si="189"/>
        <v>0</v>
      </c>
      <c r="AA38" s="1096">
        <f t="shared" si="189"/>
        <v>0</v>
      </c>
      <c r="AB38" s="1096">
        <f t="shared" si="189"/>
        <v>0</v>
      </c>
      <c r="AC38" s="1096">
        <f t="shared" si="189"/>
        <v>0</v>
      </c>
      <c r="AD38" s="1096">
        <f t="shared" si="189"/>
        <v>0</v>
      </c>
      <c r="AE38" s="1096">
        <f t="shared" si="189"/>
        <v>0</v>
      </c>
      <c r="AF38" s="1096">
        <f t="shared" si="189"/>
        <v>0</v>
      </c>
      <c r="AG38" s="1096">
        <f t="shared" si="189"/>
        <v>0</v>
      </c>
      <c r="AH38" s="1096">
        <f t="shared" si="189"/>
        <v>0</v>
      </c>
      <c r="AI38" s="1096">
        <f t="shared" si="189"/>
        <v>0</v>
      </c>
      <c r="AJ38" s="1096">
        <f t="shared" si="189"/>
        <v>0</v>
      </c>
      <c r="AK38" s="1096">
        <f t="shared" si="189"/>
        <v>0</v>
      </c>
      <c r="AL38" s="1096">
        <f t="shared" si="189"/>
        <v>0</v>
      </c>
      <c r="AM38" s="1096">
        <f t="shared" ref="AM38" si="190">SUM(AM39:AM47)</f>
        <v>0</v>
      </c>
      <c r="AN38" s="1096">
        <f t="shared" ref="AN38" si="191">SUM(AN39:AN47)</f>
        <v>0</v>
      </c>
      <c r="AO38" s="1096">
        <f t="shared" ref="AO38" si="192">SUM(AO39:AO47)</f>
        <v>0</v>
      </c>
      <c r="AP38" s="1096">
        <f t="shared" ref="AP38" si="193">SUM(AP39:AP47)</f>
        <v>0</v>
      </c>
      <c r="AQ38" s="1096">
        <f t="shared" ref="AQ38" si="194">SUM(AQ39:AQ47)</f>
        <v>0</v>
      </c>
      <c r="AR38" s="1096">
        <f t="shared" ref="AR38" si="195">SUM(AR39:AR47)</f>
        <v>0</v>
      </c>
      <c r="AS38" s="1096">
        <f t="shared" ref="AS38" si="196">SUM(AS39:AS47)</f>
        <v>0</v>
      </c>
      <c r="AT38" s="1096">
        <f t="shared" ref="AT38" si="197">SUM(AT39:AT47)</f>
        <v>0</v>
      </c>
      <c r="AU38" s="1096">
        <f t="shared" ref="AU38" si="198">SUM(AU39:AU47)</f>
        <v>0</v>
      </c>
      <c r="AV38" s="1096">
        <f t="shared" ref="AV38" si="199">SUM(AV39:AV47)</f>
        <v>0</v>
      </c>
      <c r="AW38" s="1096">
        <f t="shared" ref="AW38" si="200">SUM(AW39:AW47)</f>
        <v>0</v>
      </c>
      <c r="AX38" s="1096">
        <f t="shared" ref="AX38" si="201">SUM(AX39:AX47)</f>
        <v>0</v>
      </c>
      <c r="AY38" s="1096">
        <f t="shared" ref="AY38" si="202">SUM(AY39:AY47)</f>
        <v>0</v>
      </c>
      <c r="AZ38" s="1096">
        <f t="shared" ref="AZ38" si="203">SUM(AZ39:AZ47)</f>
        <v>0</v>
      </c>
      <c r="BA38" s="1096">
        <f t="shared" ref="BA38" si="204">SUM(BA39:BA47)</f>
        <v>0</v>
      </c>
      <c r="BB38" s="1096">
        <f t="shared" ref="BB38" si="205">SUM(BB39:BB47)</f>
        <v>0</v>
      </c>
      <c r="BC38" s="1096">
        <f t="shared" ref="BC38" si="206">SUM(BC39:BC47)</f>
        <v>0</v>
      </c>
      <c r="BD38" s="1096">
        <f t="shared" ref="BD38" si="207">SUM(BD39:BD47)</f>
        <v>0</v>
      </c>
      <c r="BE38" s="1096">
        <f t="shared" ref="BE38" si="208">SUM(BE39:BE47)</f>
        <v>0</v>
      </c>
      <c r="BF38" s="1096">
        <f t="shared" ref="BF38" si="209">SUM(BF39:BF47)</f>
        <v>0</v>
      </c>
      <c r="BG38" s="1096">
        <f t="shared" ref="BG38" si="210">SUM(BG39:BG47)</f>
        <v>0</v>
      </c>
      <c r="BH38" s="1096">
        <f t="shared" ref="BH38" si="211">SUM(BH39:BH47)</f>
        <v>0</v>
      </c>
      <c r="BI38" s="1069">
        <f t="shared" si="47"/>
        <v>0</v>
      </c>
      <c r="BJ38" s="1069">
        <f t="shared" si="48"/>
        <v>0</v>
      </c>
      <c r="BK38" s="1069">
        <f t="shared" si="49"/>
        <v>0</v>
      </c>
      <c r="BL38" s="1069">
        <f t="shared" si="50"/>
        <v>0</v>
      </c>
      <c r="BM38" s="1097"/>
    </row>
    <row r="39" spans="1:65" ht="27" thickTop="1" thickBot="1">
      <c r="A39" s="1080"/>
      <c r="B39" s="1080"/>
      <c r="C39" s="1080"/>
      <c r="D39" s="1080"/>
      <c r="E39" s="1080"/>
      <c r="F39" s="1080"/>
      <c r="G39" s="1081"/>
      <c r="H39" s="1071" t="str">
        <f>+'Anexo 1 Matriz Inf Gestión-GD'!A43</f>
        <v>3201.06.01. Territorialización de la Estrategia Nacional de Calidad del Aire (fortalecimiento del proceso regional del SEVCA - Corpocesar)</v>
      </c>
      <c r="I39" s="1072"/>
      <c r="J39" s="1072"/>
      <c r="K39" s="1072"/>
      <c r="L39" s="1072"/>
      <c r="M39" s="1072"/>
      <c r="N39" s="1072"/>
      <c r="O39" s="1072"/>
      <c r="P39" s="1072"/>
      <c r="Q39" s="1072"/>
      <c r="R39" s="1072"/>
      <c r="S39" s="1072"/>
      <c r="T39" s="1072"/>
      <c r="U39" s="1072"/>
      <c r="V39" s="1072"/>
      <c r="W39" s="1072"/>
      <c r="X39" s="1072"/>
      <c r="Y39" s="1072"/>
      <c r="Z39" s="1072"/>
      <c r="AA39" s="1072"/>
      <c r="AB39" s="1072"/>
      <c r="AC39" s="1072"/>
      <c r="AD39" s="1072"/>
      <c r="AE39" s="1072"/>
      <c r="AF39" s="1072"/>
      <c r="AG39" s="1072"/>
      <c r="AH39" s="1072"/>
      <c r="AI39" s="1072"/>
      <c r="AJ39" s="1072"/>
      <c r="AK39" s="1072"/>
      <c r="AL39" s="1072"/>
      <c r="AM39" s="1072"/>
      <c r="AN39" s="1072"/>
      <c r="AO39" s="1072"/>
      <c r="AP39" s="1072"/>
      <c r="AQ39" s="1072"/>
      <c r="AR39" s="1072"/>
      <c r="AS39" s="1072"/>
      <c r="AT39" s="1072"/>
      <c r="AU39" s="1072"/>
      <c r="AV39" s="1072"/>
      <c r="AW39" s="1072"/>
      <c r="AX39" s="1072"/>
      <c r="AY39" s="1072"/>
      <c r="AZ39" s="1072"/>
      <c r="BA39" s="1072"/>
      <c r="BB39" s="1072"/>
      <c r="BC39" s="1072"/>
      <c r="BD39" s="1072"/>
      <c r="BE39" s="1072"/>
      <c r="BF39" s="1072"/>
      <c r="BG39" s="1072"/>
      <c r="BH39" s="1072"/>
      <c r="BI39" s="1073">
        <f t="shared" si="47"/>
        <v>0</v>
      </c>
      <c r="BJ39" s="1073">
        <f t="shared" si="48"/>
        <v>0</v>
      </c>
      <c r="BK39" s="1073">
        <f t="shared" si="49"/>
        <v>0</v>
      </c>
      <c r="BL39" s="1073">
        <f t="shared" si="50"/>
        <v>0</v>
      </c>
      <c r="BM39" s="508"/>
    </row>
    <row r="40" spans="1:65" ht="39.75" thickTop="1" thickBot="1">
      <c r="A40" s="1080"/>
      <c r="B40" s="1080"/>
      <c r="C40" s="1080"/>
      <c r="D40" s="1080"/>
      <c r="E40" s="1080"/>
      <c r="F40" s="1080"/>
      <c r="G40" s="1081"/>
      <c r="H40" s="1071" t="str">
        <f>+'Anexo 1 Matriz Inf Gestión-GD'!A44</f>
        <v>3201.06.03. Diseño e implementación de plan de prevención, control y reduccion de la contaminación del aire, en municipios con población igual o superior a 150.000 habitantes y zonas industriales o mineras de alto impacto. (armonizado a la PGAU).</v>
      </c>
      <c r="I40" s="1072"/>
      <c r="J40" s="1072"/>
      <c r="K40" s="1072"/>
      <c r="L40" s="1072"/>
      <c r="M40" s="1072"/>
      <c r="N40" s="1072"/>
      <c r="O40" s="1072"/>
      <c r="P40" s="1072"/>
      <c r="Q40" s="1072"/>
      <c r="R40" s="1072"/>
      <c r="S40" s="1072"/>
      <c r="T40" s="1072"/>
      <c r="U40" s="1072"/>
      <c r="V40" s="1072"/>
      <c r="W40" s="1072"/>
      <c r="X40" s="1072"/>
      <c r="Y40" s="1072"/>
      <c r="Z40" s="1072"/>
      <c r="AA40" s="1072"/>
      <c r="AB40" s="1072"/>
      <c r="AC40" s="1072"/>
      <c r="AD40" s="1072"/>
      <c r="AE40" s="1072"/>
      <c r="AF40" s="1072"/>
      <c r="AG40" s="1072"/>
      <c r="AH40" s="1072"/>
      <c r="AI40" s="1072"/>
      <c r="AJ40" s="1072"/>
      <c r="AK40" s="1072"/>
      <c r="AL40" s="1072"/>
      <c r="AM40" s="1072"/>
      <c r="AN40" s="1072"/>
      <c r="AO40" s="1072"/>
      <c r="AP40" s="1072"/>
      <c r="AQ40" s="1072"/>
      <c r="AR40" s="1072"/>
      <c r="AS40" s="1072"/>
      <c r="AT40" s="1072"/>
      <c r="AU40" s="1072"/>
      <c r="AV40" s="1072"/>
      <c r="AW40" s="1072"/>
      <c r="AX40" s="1072"/>
      <c r="AY40" s="1072"/>
      <c r="AZ40" s="1072"/>
      <c r="BA40" s="1072"/>
      <c r="BB40" s="1072"/>
      <c r="BC40" s="1072"/>
      <c r="BD40" s="1072"/>
      <c r="BE40" s="1072"/>
      <c r="BF40" s="1072"/>
      <c r="BG40" s="1072"/>
      <c r="BH40" s="1072"/>
      <c r="BI40" s="1073">
        <f t="shared" si="47"/>
        <v>0</v>
      </c>
      <c r="BJ40" s="1073">
        <f t="shared" si="48"/>
        <v>0</v>
      </c>
      <c r="BK40" s="1073">
        <f t="shared" si="49"/>
        <v>0</v>
      </c>
      <c r="BL40" s="1073">
        <f t="shared" si="50"/>
        <v>0</v>
      </c>
      <c r="BM40" s="508"/>
    </row>
    <row r="41" spans="1:65" ht="16.5" thickTop="1" thickBot="1">
      <c r="A41" s="1080"/>
      <c r="B41" s="1080"/>
      <c r="C41" s="1080"/>
      <c r="D41" s="1080"/>
      <c r="E41" s="1080"/>
      <c r="F41" s="1080"/>
      <c r="G41" s="1081"/>
      <c r="H41" s="1071" t="str">
        <f>+'Anexo 1 Matriz Inf Gestión-GD'!A45</f>
        <v>3201.06.05 Implementación de fuentes móviles de control</v>
      </c>
      <c r="I41" s="1072"/>
      <c r="J41" s="1072"/>
      <c r="K41" s="1072"/>
      <c r="L41" s="1072"/>
      <c r="M41" s="1072"/>
      <c r="N41" s="1072"/>
      <c r="O41" s="1072"/>
      <c r="P41" s="1072"/>
      <c r="Q41" s="1072"/>
      <c r="R41" s="1072"/>
      <c r="S41" s="1072"/>
      <c r="T41" s="1072"/>
      <c r="U41" s="1072"/>
      <c r="V41" s="1072"/>
      <c r="W41" s="1072"/>
      <c r="X41" s="1072"/>
      <c r="Y41" s="1072"/>
      <c r="Z41" s="1072"/>
      <c r="AA41" s="1072"/>
      <c r="AB41" s="1072"/>
      <c r="AC41" s="1072"/>
      <c r="AD41" s="1072"/>
      <c r="AE41" s="1072"/>
      <c r="AF41" s="1072"/>
      <c r="AG41" s="1072"/>
      <c r="AH41" s="1072"/>
      <c r="AI41" s="1072"/>
      <c r="AJ41" s="1072"/>
      <c r="AK41" s="1072"/>
      <c r="AL41" s="1072"/>
      <c r="AM41" s="1072"/>
      <c r="AN41" s="1072"/>
      <c r="AO41" s="1072"/>
      <c r="AP41" s="1072"/>
      <c r="AQ41" s="1072"/>
      <c r="AR41" s="1072"/>
      <c r="AS41" s="1072"/>
      <c r="AT41" s="1072"/>
      <c r="AU41" s="1072"/>
      <c r="AV41" s="1072"/>
      <c r="AW41" s="1072"/>
      <c r="AX41" s="1072"/>
      <c r="AY41" s="1072"/>
      <c r="AZ41" s="1072"/>
      <c r="BA41" s="1072"/>
      <c r="BB41" s="1072"/>
      <c r="BC41" s="1072"/>
      <c r="BD41" s="1072"/>
      <c r="BE41" s="1072"/>
      <c r="BF41" s="1072"/>
      <c r="BG41" s="1072"/>
      <c r="BH41" s="1072"/>
      <c r="BI41" s="1073">
        <f t="shared" si="47"/>
        <v>0</v>
      </c>
      <c r="BJ41" s="1073">
        <f t="shared" si="48"/>
        <v>0</v>
      </c>
      <c r="BK41" s="1073">
        <f t="shared" si="49"/>
        <v>0</v>
      </c>
      <c r="BL41" s="1073">
        <f t="shared" si="50"/>
        <v>0</v>
      </c>
      <c r="BM41" s="508"/>
    </row>
    <row r="42" spans="1:65" ht="39.75" thickTop="1" thickBot="1">
      <c r="A42" s="1080"/>
      <c r="B42" s="1080"/>
      <c r="C42" s="1080"/>
      <c r="D42" s="1080"/>
      <c r="E42" s="1080"/>
      <c r="F42" s="1080"/>
      <c r="G42" s="1081"/>
      <c r="H42" s="1071" t="str">
        <f>+'Anexo 1 Matriz Inf Gestión-GD'!A46</f>
        <v>3201.06.02. Optimización y Fortalecimento del Sistema de Moniterio de Calidad de Aire del Cesar. (acreditación, dotación, técnicas y operación de la red, cobertura y sostenibiidad))</v>
      </c>
      <c r="I42" s="1072"/>
      <c r="J42" s="1072"/>
      <c r="K42" s="1072"/>
      <c r="L42" s="1072"/>
      <c r="M42" s="1072"/>
      <c r="N42" s="1072"/>
      <c r="O42" s="1072"/>
      <c r="P42" s="1072"/>
      <c r="Q42" s="1072"/>
      <c r="R42" s="1072"/>
      <c r="S42" s="1072"/>
      <c r="T42" s="1072"/>
      <c r="U42" s="1072"/>
      <c r="V42" s="1072"/>
      <c r="W42" s="1072"/>
      <c r="X42" s="1072"/>
      <c r="Y42" s="1072"/>
      <c r="Z42" s="1072"/>
      <c r="AA42" s="1072"/>
      <c r="AB42" s="1072"/>
      <c r="AC42" s="1072"/>
      <c r="AD42" s="1072"/>
      <c r="AE42" s="1072"/>
      <c r="AF42" s="1072"/>
      <c r="AG42" s="1072"/>
      <c r="AH42" s="1072"/>
      <c r="AI42" s="1072"/>
      <c r="AJ42" s="1072"/>
      <c r="AK42" s="1072"/>
      <c r="AL42" s="1072"/>
      <c r="AM42" s="1072"/>
      <c r="AN42" s="1072"/>
      <c r="AO42" s="1072"/>
      <c r="AP42" s="1072"/>
      <c r="AQ42" s="1072"/>
      <c r="AR42" s="1072"/>
      <c r="AS42" s="1072"/>
      <c r="AT42" s="1072"/>
      <c r="AU42" s="1072"/>
      <c r="AV42" s="1072"/>
      <c r="AW42" s="1072"/>
      <c r="AX42" s="1072"/>
      <c r="AY42" s="1072"/>
      <c r="AZ42" s="1072"/>
      <c r="BA42" s="1072"/>
      <c r="BB42" s="1072"/>
      <c r="BC42" s="1072"/>
      <c r="BD42" s="1072"/>
      <c r="BE42" s="1072"/>
      <c r="BF42" s="1072"/>
      <c r="BG42" s="1072"/>
      <c r="BH42" s="1072"/>
      <c r="BI42" s="1073">
        <f t="shared" si="47"/>
        <v>0</v>
      </c>
      <c r="BJ42" s="1073">
        <f t="shared" si="48"/>
        <v>0</v>
      </c>
      <c r="BK42" s="1073">
        <f t="shared" si="49"/>
        <v>0</v>
      </c>
      <c r="BL42" s="1073">
        <f t="shared" si="50"/>
        <v>0</v>
      </c>
      <c r="BM42" s="508"/>
    </row>
    <row r="43" spans="1:65" ht="27" thickTop="1" thickBot="1">
      <c r="A43" s="1080"/>
      <c r="B43" s="1080"/>
      <c r="C43" s="1080"/>
      <c r="D43" s="1080"/>
      <c r="E43" s="1080"/>
      <c r="F43" s="1080"/>
      <c r="G43" s="1081"/>
      <c r="H43" s="1071" t="str">
        <f>+'Anexo 1 Matriz Inf Gestión-GD'!A47</f>
        <v>3201.06.04. Control y monitoreo de fuentes móviles y áreas fuentes en áreas estratégicas de la jurisdicción.</v>
      </c>
      <c r="I43" s="1072"/>
      <c r="J43" s="1072"/>
      <c r="K43" s="1072"/>
      <c r="L43" s="1072"/>
      <c r="M43" s="1072"/>
      <c r="N43" s="1072"/>
      <c r="O43" s="1072"/>
      <c r="P43" s="1072"/>
      <c r="Q43" s="1072"/>
      <c r="R43" s="1072"/>
      <c r="S43" s="1072"/>
      <c r="T43" s="1072"/>
      <c r="U43" s="1072"/>
      <c r="V43" s="1072"/>
      <c r="W43" s="1072"/>
      <c r="X43" s="1072"/>
      <c r="Y43" s="1072"/>
      <c r="Z43" s="1072"/>
      <c r="AA43" s="1072"/>
      <c r="AB43" s="1072"/>
      <c r="AC43" s="1072"/>
      <c r="AD43" s="1072"/>
      <c r="AE43" s="1072"/>
      <c r="AF43" s="1072"/>
      <c r="AG43" s="1072"/>
      <c r="AH43" s="1072"/>
      <c r="AI43" s="1072"/>
      <c r="AJ43" s="1072"/>
      <c r="AK43" s="1072"/>
      <c r="AL43" s="1072"/>
      <c r="AM43" s="1072"/>
      <c r="AN43" s="1072"/>
      <c r="AO43" s="1072"/>
      <c r="AP43" s="1072"/>
      <c r="AQ43" s="1072"/>
      <c r="AR43" s="1072"/>
      <c r="AS43" s="1072"/>
      <c r="AT43" s="1072"/>
      <c r="AU43" s="1072"/>
      <c r="AV43" s="1072"/>
      <c r="AW43" s="1072"/>
      <c r="AX43" s="1072"/>
      <c r="AY43" s="1072"/>
      <c r="AZ43" s="1072"/>
      <c r="BA43" s="1072"/>
      <c r="BB43" s="1072"/>
      <c r="BC43" s="1072"/>
      <c r="BD43" s="1072"/>
      <c r="BE43" s="1072"/>
      <c r="BF43" s="1072"/>
      <c r="BG43" s="1072"/>
      <c r="BH43" s="1072"/>
      <c r="BI43" s="1073">
        <f t="shared" si="47"/>
        <v>0</v>
      </c>
      <c r="BJ43" s="1073">
        <f t="shared" si="48"/>
        <v>0</v>
      </c>
      <c r="BK43" s="1073">
        <f t="shared" si="49"/>
        <v>0</v>
      </c>
      <c r="BL43" s="1073">
        <f t="shared" si="50"/>
        <v>0</v>
      </c>
      <c r="BM43" s="508"/>
    </row>
    <row r="44" spans="1:65" ht="16.5" thickTop="1" thickBot="1">
      <c r="A44" s="1080"/>
      <c r="B44" s="1080"/>
      <c r="C44" s="1080"/>
      <c r="D44" s="1080"/>
      <c r="E44" s="1080"/>
      <c r="F44" s="1080"/>
      <c r="G44" s="1081"/>
      <c r="H44" s="1071" t="str">
        <f>+'Anexo 1 Matriz Inf Gestión-GD'!A48</f>
        <v>3201.06.06.Identificación de fuentes fijas de emisión</v>
      </c>
      <c r="I44" s="1072"/>
      <c r="J44" s="1072"/>
      <c r="K44" s="1072"/>
      <c r="L44" s="1072"/>
      <c r="M44" s="1072"/>
      <c r="N44" s="1072"/>
      <c r="O44" s="1072"/>
      <c r="P44" s="1072"/>
      <c r="Q44" s="1072"/>
      <c r="R44" s="1072"/>
      <c r="S44" s="1072"/>
      <c r="T44" s="1072"/>
      <c r="U44" s="1072"/>
      <c r="V44" s="1072"/>
      <c r="W44" s="1072"/>
      <c r="X44" s="1072"/>
      <c r="Y44" s="1072"/>
      <c r="Z44" s="1072"/>
      <c r="AA44" s="1072"/>
      <c r="AB44" s="1072"/>
      <c r="AC44" s="1072"/>
      <c r="AD44" s="1072"/>
      <c r="AE44" s="1072"/>
      <c r="AF44" s="1072"/>
      <c r="AG44" s="1072"/>
      <c r="AH44" s="1072"/>
      <c r="AI44" s="1072"/>
      <c r="AJ44" s="1072"/>
      <c r="AK44" s="1072"/>
      <c r="AL44" s="1072"/>
      <c r="AM44" s="1072"/>
      <c r="AN44" s="1072"/>
      <c r="AO44" s="1072"/>
      <c r="AP44" s="1072"/>
      <c r="AQ44" s="1072"/>
      <c r="AR44" s="1072"/>
      <c r="AS44" s="1072"/>
      <c r="AT44" s="1072"/>
      <c r="AU44" s="1072"/>
      <c r="AV44" s="1072"/>
      <c r="AW44" s="1072"/>
      <c r="AX44" s="1072"/>
      <c r="AY44" s="1072"/>
      <c r="AZ44" s="1072"/>
      <c r="BA44" s="1072"/>
      <c r="BB44" s="1072"/>
      <c r="BC44" s="1072"/>
      <c r="BD44" s="1072"/>
      <c r="BE44" s="1072"/>
      <c r="BF44" s="1072"/>
      <c r="BG44" s="1072"/>
      <c r="BH44" s="1072"/>
      <c r="BI44" s="1073">
        <f t="shared" si="47"/>
        <v>0</v>
      </c>
      <c r="BJ44" s="1073">
        <f t="shared" si="48"/>
        <v>0</v>
      </c>
      <c r="BK44" s="1073">
        <f t="shared" si="49"/>
        <v>0</v>
      </c>
      <c r="BL44" s="1073">
        <f t="shared" si="50"/>
        <v>0</v>
      </c>
      <c r="BM44" s="508"/>
    </row>
    <row r="45" spans="1:65" s="1093" customFormat="1" ht="39.75" thickTop="1" thickBot="1">
      <c r="A45" s="513"/>
      <c r="B45" s="513"/>
      <c r="C45" s="513"/>
      <c r="D45" s="1102"/>
      <c r="E45" s="1100"/>
      <c r="F45" s="1100"/>
      <c r="G45" s="1101"/>
      <c r="H45" s="1090" t="str">
        <f>+'Anexo 1 Matriz Inf Gestión-GD'!A49</f>
        <v>3201.06.09 Evaluación de las estaciones de monitoreo de CA de la jurisdicción para verificar cumplimiento a la meta del PND 2018-2022 y/o rediseñar estrategias de prevención y control.</v>
      </c>
      <c r="I45" s="1091"/>
      <c r="J45" s="1091"/>
      <c r="K45" s="1091"/>
      <c r="L45" s="1091"/>
      <c r="M45" s="1091"/>
      <c r="N45" s="1091"/>
      <c r="O45" s="1091"/>
      <c r="P45" s="1091"/>
      <c r="Q45" s="1091"/>
      <c r="R45" s="1091"/>
      <c r="S45" s="1091"/>
      <c r="T45" s="1091"/>
      <c r="U45" s="1091"/>
      <c r="V45" s="1091"/>
      <c r="W45" s="1091"/>
      <c r="X45" s="1091"/>
      <c r="Y45" s="1091"/>
      <c r="Z45" s="1091"/>
      <c r="AA45" s="1091"/>
      <c r="AB45" s="1091"/>
      <c r="AC45" s="1091"/>
      <c r="AD45" s="1091"/>
      <c r="AE45" s="1091"/>
      <c r="AF45" s="1091"/>
      <c r="AG45" s="1091"/>
      <c r="AH45" s="1091"/>
      <c r="AI45" s="1091"/>
      <c r="AJ45" s="1091"/>
      <c r="AK45" s="1091"/>
      <c r="AL45" s="1091"/>
      <c r="AM45" s="1091"/>
      <c r="AN45" s="1091"/>
      <c r="AO45" s="1091"/>
      <c r="AP45" s="1091"/>
      <c r="AQ45" s="1091"/>
      <c r="AR45" s="1091"/>
      <c r="AS45" s="1091"/>
      <c r="AT45" s="1091"/>
      <c r="AU45" s="1091"/>
      <c r="AV45" s="1091"/>
      <c r="AW45" s="1091"/>
      <c r="AX45" s="1091"/>
      <c r="AY45" s="1091"/>
      <c r="AZ45" s="1091"/>
      <c r="BA45" s="1091"/>
      <c r="BB45" s="1091"/>
      <c r="BC45" s="1091"/>
      <c r="BD45" s="1091"/>
      <c r="BE45" s="1091"/>
      <c r="BF45" s="1091"/>
      <c r="BG45" s="1091"/>
      <c r="BH45" s="1091"/>
      <c r="BI45" s="1092">
        <f t="shared" si="47"/>
        <v>0</v>
      </c>
      <c r="BJ45" s="1092">
        <f t="shared" si="48"/>
        <v>0</v>
      </c>
      <c r="BK45" s="1092">
        <f t="shared" si="49"/>
        <v>0</v>
      </c>
      <c r="BL45" s="1092">
        <f t="shared" si="50"/>
        <v>0</v>
      </c>
      <c r="BM45" s="1089"/>
    </row>
    <row r="46" spans="1:65" ht="16.5" thickTop="1" thickBot="1">
      <c r="A46" s="1083"/>
      <c r="B46" s="1083"/>
      <c r="C46" s="511"/>
      <c r="D46" s="511"/>
      <c r="E46" s="511"/>
      <c r="F46" s="511"/>
      <c r="G46" s="511"/>
      <c r="H46" s="1071" t="str">
        <f>+'Anexo 1 Matriz Inf Gestión-GD'!A50</f>
        <v>3201.06.07 Control y seguimiento a fuentes fijas de emisión</v>
      </c>
      <c r="I46" s="1072"/>
      <c r="J46" s="1072"/>
      <c r="K46" s="1072"/>
      <c r="L46" s="1072"/>
      <c r="M46" s="1072"/>
      <c r="N46" s="1072"/>
      <c r="O46" s="1072"/>
      <c r="P46" s="1072"/>
      <c r="Q46" s="1072"/>
      <c r="R46" s="1072"/>
      <c r="S46" s="1072"/>
      <c r="T46" s="1072"/>
      <c r="U46" s="1072"/>
      <c r="V46" s="1072"/>
      <c r="W46" s="1072"/>
      <c r="X46" s="1072"/>
      <c r="Y46" s="1072"/>
      <c r="Z46" s="1072"/>
      <c r="AA46" s="1072"/>
      <c r="AB46" s="1072"/>
      <c r="AC46" s="1072"/>
      <c r="AD46" s="1072"/>
      <c r="AE46" s="1072"/>
      <c r="AF46" s="1072"/>
      <c r="AG46" s="1072"/>
      <c r="AH46" s="1072"/>
      <c r="AI46" s="1072"/>
      <c r="AJ46" s="1072"/>
      <c r="AK46" s="1072"/>
      <c r="AL46" s="1072"/>
      <c r="AM46" s="1072"/>
      <c r="AN46" s="1072"/>
      <c r="AO46" s="1072"/>
      <c r="AP46" s="1072"/>
      <c r="AQ46" s="1072"/>
      <c r="AR46" s="1072"/>
      <c r="AS46" s="1072"/>
      <c r="AT46" s="1072"/>
      <c r="AU46" s="1072"/>
      <c r="AV46" s="1072"/>
      <c r="AW46" s="1072"/>
      <c r="AX46" s="1072"/>
      <c r="AY46" s="1072"/>
      <c r="AZ46" s="1072"/>
      <c r="BA46" s="1072"/>
      <c r="BB46" s="1072"/>
      <c r="BC46" s="1072"/>
      <c r="BD46" s="1072"/>
      <c r="BE46" s="1072"/>
      <c r="BF46" s="1072"/>
      <c r="BG46" s="1072"/>
      <c r="BH46" s="1072"/>
      <c r="BI46" s="1073">
        <f t="shared" si="47"/>
        <v>0</v>
      </c>
      <c r="BJ46" s="1073">
        <f t="shared" si="48"/>
        <v>0</v>
      </c>
      <c r="BK46" s="1073">
        <f t="shared" si="49"/>
        <v>0</v>
      </c>
      <c r="BL46" s="1073">
        <f t="shared" si="50"/>
        <v>0</v>
      </c>
      <c r="BM46" s="508"/>
    </row>
    <row r="47" spans="1:65" ht="27" thickTop="1" thickBot="1">
      <c r="A47" s="1083"/>
      <c r="B47" s="1083"/>
      <c r="C47" s="511"/>
      <c r="D47" s="511"/>
      <c r="E47" s="511"/>
      <c r="F47" s="511"/>
      <c r="G47" s="511"/>
      <c r="H47" s="1071" t="str">
        <f>+'Anexo 1 Matriz Inf Gestión-GD'!A51</f>
        <v>3201.06.08 Gestión, comunicación y evaluación interinstitucional de la información de la CA.</v>
      </c>
      <c r="I47" s="1072"/>
      <c r="J47" s="1072"/>
      <c r="K47" s="1072"/>
      <c r="L47" s="1072"/>
      <c r="M47" s="1072"/>
      <c r="N47" s="1072"/>
      <c r="O47" s="1072"/>
      <c r="P47" s="1072"/>
      <c r="Q47" s="1072"/>
      <c r="R47" s="1072"/>
      <c r="S47" s="1072"/>
      <c r="T47" s="1072"/>
      <c r="U47" s="1072"/>
      <c r="V47" s="1072"/>
      <c r="W47" s="1072"/>
      <c r="X47" s="1072"/>
      <c r="Y47" s="1072"/>
      <c r="Z47" s="1072"/>
      <c r="AA47" s="1072"/>
      <c r="AB47" s="1072"/>
      <c r="AC47" s="1072"/>
      <c r="AD47" s="1072"/>
      <c r="AE47" s="1072"/>
      <c r="AF47" s="1072"/>
      <c r="AG47" s="1072"/>
      <c r="AH47" s="1072"/>
      <c r="AI47" s="1072"/>
      <c r="AJ47" s="1072"/>
      <c r="AK47" s="1072"/>
      <c r="AL47" s="1072"/>
      <c r="AM47" s="1072"/>
      <c r="AN47" s="1072"/>
      <c r="AO47" s="1072"/>
      <c r="AP47" s="1072"/>
      <c r="AQ47" s="1072"/>
      <c r="AR47" s="1072"/>
      <c r="AS47" s="1072"/>
      <c r="AT47" s="1072"/>
      <c r="AU47" s="1072"/>
      <c r="AV47" s="1072"/>
      <c r="AW47" s="1072"/>
      <c r="AX47" s="1072"/>
      <c r="AY47" s="1072"/>
      <c r="AZ47" s="1072"/>
      <c r="BA47" s="1072"/>
      <c r="BB47" s="1072"/>
      <c r="BC47" s="1072"/>
      <c r="BD47" s="1072"/>
      <c r="BE47" s="1072"/>
      <c r="BF47" s="1072"/>
      <c r="BG47" s="1072"/>
      <c r="BH47" s="1072"/>
      <c r="BI47" s="1073">
        <f t="shared" si="47"/>
        <v>0</v>
      </c>
      <c r="BJ47" s="1073">
        <f t="shared" si="48"/>
        <v>0</v>
      </c>
      <c r="BK47" s="1073">
        <f t="shared" si="49"/>
        <v>0</v>
      </c>
      <c r="BL47" s="1073">
        <f t="shared" si="50"/>
        <v>0</v>
      </c>
      <c r="BM47" s="508"/>
    </row>
    <row r="48" spans="1:65" ht="28.5" thickTop="1" thickBot="1">
      <c r="A48" s="1060"/>
      <c r="B48" s="1061"/>
      <c r="C48" s="1061"/>
      <c r="D48" s="1061"/>
      <c r="E48" s="1060"/>
      <c r="F48" s="1060"/>
      <c r="G48" s="1060"/>
      <c r="H48" s="1062" t="str">
        <f>+'Anexo 1 Matriz Inf Gestión-GD'!A52</f>
        <v>PROGRAMA 3206. GESTIÓN DEL CAMBIO CLIMÁTICO PARA UN DESARROLLO BAJO EN CARBONO Y RESILIENTE AL CLIMA</v>
      </c>
      <c r="I48" s="1063">
        <f>+I49+I53+I57</f>
        <v>0</v>
      </c>
      <c r="J48" s="1063">
        <f t="shared" ref="J48:AL48" si="212">+J49+J53+J57</f>
        <v>0</v>
      </c>
      <c r="K48" s="1063">
        <f t="shared" si="212"/>
        <v>0</v>
      </c>
      <c r="L48" s="1063">
        <f t="shared" si="212"/>
        <v>0</v>
      </c>
      <c r="M48" s="1063">
        <f t="shared" si="212"/>
        <v>0</v>
      </c>
      <c r="N48" s="1063">
        <f t="shared" si="212"/>
        <v>0</v>
      </c>
      <c r="O48" s="1063">
        <f t="shared" si="212"/>
        <v>0</v>
      </c>
      <c r="P48" s="1063">
        <f t="shared" si="212"/>
        <v>0</v>
      </c>
      <c r="Q48" s="1063">
        <f t="shared" si="212"/>
        <v>0</v>
      </c>
      <c r="R48" s="1063">
        <f t="shared" si="212"/>
        <v>0</v>
      </c>
      <c r="S48" s="1063">
        <f t="shared" si="212"/>
        <v>0</v>
      </c>
      <c r="T48" s="1063">
        <f t="shared" si="212"/>
        <v>0</v>
      </c>
      <c r="U48" s="1063">
        <f t="shared" si="212"/>
        <v>0</v>
      </c>
      <c r="V48" s="1063">
        <f t="shared" si="212"/>
        <v>0</v>
      </c>
      <c r="W48" s="1063">
        <f t="shared" si="212"/>
        <v>0</v>
      </c>
      <c r="X48" s="1063">
        <f t="shared" si="212"/>
        <v>0</v>
      </c>
      <c r="Y48" s="1063">
        <f t="shared" si="212"/>
        <v>0</v>
      </c>
      <c r="Z48" s="1063">
        <f t="shared" si="212"/>
        <v>0</v>
      </c>
      <c r="AA48" s="1063">
        <f t="shared" si="212"/>
        <v>0</v>
      </c>
      <c r="AB48" s="1063">
        <f t="shared" si="212"/>
        <v>0</v>
      </c>
      <c r="AC48" s="1063">
        <f t="shared" si="212"/>
        <v>0</v>
      </c>
      <c r="AD48" s="1063">
        <f t="shared" si="212"/>
        <v>0</v>
      </c>
      <c r="AE48" s="1063">
        <f t="shared" si="212"/>
        <v>0</v>
      </c>
      <c r="AF48" s="1063">
        <f t="shared" si="212"/>
        <v>0</v>
      </c>
      <c r="AG48" s="1063">
        <f t="shared" si="212"/>
        <v>0</v>
      </c>
      <c r="AH48" s="1063">
        <f t="shared" si="212"/>
        <v>0</v>
      </c>
      <c r="AI48" s="1063">
        <f t="shared" si="212"/>
        <v>0</v>
      </c>
      <c r="AJ48" s="1063">
        <f t="shared" si="212"/>
        <v>0</v>
      </c>
      <c r="AK48" s="1063">
        <f t="shared" si="212"/>
        <v>0</v>
      </c>
      <c r="AL48" s="1063">
        <f t="shared" si="212"/>
        <v>0</v>
      </c>
      <c r="AM48" s="1063">
        <f t="shared" ref="AM48" si="213">+AM49+AM53+AM57</f>
        <v>0</v>
      </c>
      <c r="AN48" s="1063">
        <f t="shared" ref="AN48" si="214">+AN49+AN53+AN57</f>
        <v>0</v>
      </c>
      <c r="AO48" s="1063">
        <f t="shared" ref="AO48" si="215">+AO49+AO53+AO57</f>
        <v>0</v>
      </c>
      <c r="AP48" s="1063">
        <f t="shared" ref="AP48" si="216">+AP49+AP53+AP57</f>
        <v>0</v>
      </c>
      <c r="AQ48" s="1063">
        <f t="shared" ref="AQ48" si="217">+AQ49+AQ53+AQ57</f>
        <v>0</v>
      </c>
      <c r="AR48" s="1063">
        <f t="shared" ref="AR48" si="218">+AR49+AR53+AR57</f>
        <v>0</v>
      </c>
      <c r="AS48" s="1063">
        <f t="shared" ref="AS48" si="219">+AS49+AS53+AS57</f>
        <v>0</v>
      </c>
      <c r="AT48" s="1063">
        <f t="shared" ref="AT48" si="220">+AT49+AT53+AT57</f>
        <v>0</v>
      </c>
      <c r="AU48" s="1063">
        <f t="shared" ref="AU48" si="221">+AU49+AU53+AU57</f>
        <v>0</v>
      </c>
      <c r="AV48" s="1063">
        <f t="shared" ref="AV48" si="222">+AV49+AV53+AV57</f>
        <v>0</v>
      </c>
      <c r="AW48" s="1063">
        <f t="shared" ref="AW48" si="223">+AW49+AW53+AW57</f>
        <v>0</v>
      </c>
      <c r="AX48" s="1063">
        <f t="shared" ref="AX48" si="224">+AX49+AX53+AX57</f>
        <v>0</v>
      </c>
      <c r="AY48" s="1063">
        <f t="shared" ref="AY48" si="225">+AY49+AY53+AY57</f>
        <v>0</v>
      </c>
      <c r="AZ48" s="1063">
        <f t="shared" ref="AZ48" si="226">+AZ49+AZ53+AZ57</f>
        <v>0</v>
      </c>
      <c r="BA48" s="1063">
        <f t="shared" ref="BA48" si="227">+BA49+BA53+BA57</f>
        <v>0</v>
      </c>
      <c r="BB48" s="1063">
        <f t="shared" ref="BB48" si="228">+BB49+BB53+BB57</f>
        <v>0</v>
      </c>
      <c r="BC48" s="1063">
        <f t="shared" ref="BC48" si="229">+BC49+BC53+BC57</f>
        <v>0</v>
      </c>
      <c r="BD48" s="1063">
        <f t="shared" ref="BD48" si="230">+BD49+BD53+BD57</f>
        <v>0</v>
      </c>
      <c r="BE48" s="1063">
        <f t="shared" ref="BE48" si="231">+BE49+BE53+BE57</f>
        <v>0</v>
      </c>
      <c r="BF48" s="1063">
        <f t="shared" ref="BF48" si="232">+BF49+BF53+BF57</f>
        <v>0</v>
      </c>
      <c r="BG48" s="1063">
        <f t="shared" ref="BG48" si="233">+BG49+BG53+BG57</f>
        <v>0</v>
      </c>
      <c r="BH48" s="1063">
        <f t="shared" ref="BH48" si="234">+BH49+BH53+BH57</f>
        <v>0</v>
      </c>
      <c r="BI48" s="1064">
        <f t="shared" si="47"/>
        <v>0</v>
      </c>
      <c r="BJ48" s="1064">
        <f t="shared" si="48"/>
        <v>0</v>
      </c>
      <c r="BK48" s="1064">
        <f t="shared" si="49"/>
        <v>0</v>
      </c>
      <c r="BL48" s="1064">
        <f t="shared" si="50"/>
        <v>0</v>
      </c>
      <c r="BM48" s="1065"/>
    </row>
    <row r="49" spans="1:65" ht="27" thickTop="1" thickBot="1">
      <c r="A49" s="1066"/>
      <c r="B49" s="1066"/>
      <c r="C49" s="1066"/>
      <c r="D49" s="1066"/>
      <c r="E49" s="1077"/>
      <c r="F49" s="1077"/>
      <c r="G49" s="1078"/>
      <c r="H49" s="1067" t="str">
        <f>+'Anexo 1 Matriz Inf Gestión-GD'!A53</f>
        <v>Proyecto 3206.01  Implementación y evaluación de acciones del Plan Integral de Gestión de Cambio Climático -PIGCC- Territorial del Cesar</v>
      </c>
      <c r="I49" s="1068">
        <f>SUM(I50:I52)</f>
        <v>0</v>
      </c>
      <c r="J49" s="1068">
        <f t="shared" ref="J49:AL49" si="235">SUM(J50:J52)</f>
        <v>0</v>
      </c>
      <c r="K49" s="1068">
        <f t="shared" si="235"/>
        <v>0</v>
      </c>
      <c r="L49" s="1068">
        <f t="shared" si="235"/>
        <v>0</v>
      </c>
      <c r="M49" s="1068">
        <f t="shared" si="235"/>
        <v>0</v>
      </c>
      <c r="N49" s="1068">
        <f t="shared" si="235"/>
        <v>0</v>
      </c>
      <c r="O49" s="1068">
        <f t="shared" si="235"/>
        <v>0</v>
      </c>
      <c r="P49" s="1068">
        <f t="shared" si="235"/>
        <v>0</v>
      </c>
      <c r="Q49" s="1068">
        <f t="shared" si="235"/>
        <v>0</v>
      </c>
      <c r="R49" s="1068">
        <f t="shared" si="235"/>
        <v>0</v>
      </c>
      <c r="S49" s="1068">
        <f t="shared" si="235"/>
        <v>0</v>
      </c>
      <c r="T49" s="1068">
        <f t="shared" si="235"/>
        <v>0</v>
      </c>
      <c r="U49" s="1068">
        <f t="shared" si="235"/>
        <v>0</v>
      </c>
      <c r="V49" s="1068">
        <f t="shared" si="235"/>
        <v>0</v>
      </c>
      <c r="W49" s="1068">
        <f t="shared" si="235"/>
        <v>0</v>
      </c>
      <c r="X49" s="1068">
        <f t="shared" si="235"/>
        <v>0</v>
      </c>
      <c r="Y49" s="1068">
        <f t="shared" si="235"/>
        <v>0</v>
      </c>
      <c r="Z49" s="1068">
        <f t="shared" si="235"/>
        <v>0</v>
      </c>
      <c r="AA49" s="1068">
        <f t="shared" si="235"/>
        <v>0</v>
      </c>
      <c r="AB49" s="1068">
        <f t="shared" si="235"/>
        <v>0</v>
      </c>
      <c r="AC49" s="1068">
        <f t="shared" si="235"/>
        <v>0</v>
      </c>
      <c r="AD49" s="1068">
        <f t="shared" si="235"/>
        <v>0</v>
      </c>
      <c r="AE49" s="1068">
        <f t="shared" si="235"/>
        <v>0</v>
      </c>
      <c r="AF49" s="1068">
        <f t="shared" si="235"/>
        <v>0</v>
      </c>
      <c r="AG49" s="1068">
        <f t="shared" si="235"/>
        <v>0</v>
      </c>
      <c r="AH49" s="1068">
        <f t="shared" si="235"/>
        <v>0</v>
      </c>
      <c r="AI49" s="1068">
        <f t="shared" si="235"/>
        <v>0</v>
      </c>
      <c r="AJ49" s="1068">
        <f t="shared" si="235"/>
        <v>0</v>
      </c>
      <c r="AK49" s="1068">
        <f t="shared" si="235"/>
        <v>0</v>
      </c>
      <c r="AL49" s="1068">
        <f t="shared" si="235"/>
        <v>0</v>
      </c>
      <c r="AM49" s="1068">
        <f t="shared" ref="AM49" si="236">SUM(AM50:AM52)</f>
        <v>0</v>
      </c>
      <c r="AN49" s="1068">
        <f t="shared" ref="AN49" si="237">SUM(AN50:AN52)</f>
        <v>0</v>
      </c>
      <c r="AO49" s="1068">
        <f t="shared" ref="AO49" si="238">SUM(AO50:AO52)</f>
        <v>0</v>
      </c>
      <c r="AP49" s="1068">
        <f t="shared" ref="AP49" si="239">SUM(AP50:AP52)</f>
        <v>0</v>
      </c>
      <c r="AQ49" s="1068">
        <f t="shared" ref="AQ49" si="240">SUM(AQ50:AQ52)</f>
        <v>0</v>
      </c>
      <c r="AR49" s="1068">
        <f t="shared" ref="AR49" si="241">SUM(AR50:AR52)</f>
        <v>0</v>
      </c>
      <c r="AS49" s="1068">
        <f t="shared" ref="AS49" si="242">SUM(AS50:AS52)</f>
        <v>0</v>
      </c>
      <c r="AT49" s="1068">
        <f t="shared" ref="AT49" si="243">SUM(AT50:AT52)</f>
        <v>0</v>
      </c>
      <c r="AU49" s="1068">
        <f t="shared" ref="AU49" si="244">SUM(AU50:AU52)</f>
        <v>0</v>
      </c>
      <c r="AV49" s="1068">
        <f t="shared" ref="AV49" si="245">SUM(AV50:AV52)</f>
        <v>0</v>
      </c>
      <c r="AW49" s="1068">
        <f t="shared" ref="AW49" si="246">SUM(AW50:AW52)</f>
        <v>0</v>
      </c>
      <c r="AX49" s="1068">
        <f t="shared" ref="AX49" si="247">SUM(AX50:AX52)</f>
        <v>0</v>
      </c>
      <c r="AY49" s="1068">
        <f t="shared" ref="AY49" si="248">SUM(AY50:AY52)</f>
        <v>0</v>
      </c>
      <c r="AZ49" s="1068">
        <f t="shared" ref="AZ49" si="249">SUM(AZ50:AZ52)</f>
        <v>0</v>
      </c>
      <c r="BA49" s="1068">
        <f t="shared" ref="BA49" si="250">SUM(BA50:BA52)</f>
        <v>0</v>
      </c>
      <c r="BB49" s="1068">
        <f t="shared" ref="BB49" si="251">SUM(BB50:BB52)</f>
        <v>0</v>
      </c>
      <c r="BC49" s="1068">
        <f t="shared" ref="BC49" si="252">SUM(BC50:BC52)</f>
        <v>0</v>
      </c>
      <c r="BD49" s="1068">
        <f t="shared" ref="BD49" si="253">SUM(BD50:BD52)</f>
        <v>0</v>
      </c>
      <c r="BE49" s="1068">
        <f t="shared" ref="BE49" si="254">SUM(BE50:BE52)</f>
        <v>0</v>
      </c>
      <c r="BF49" s="1068">
        <f t="shared" ref="BF49" si="255">SUM(BF50:BF52)</f>
        <v>0</v>
      </c>
      <c r="BG49" s="1068">
        <f t="shared" ref="BG49" si="256">SUM(BG50:BG52)</f>
        <v>0</v>
      </c>
      <c r="BH49" s="1068">
        <f t="shared" ref="BH49" si="257">SUM(BH50:BH52)</f>
        <v>0</v>
      </c>
      <c r="BI49" s="1069">
        <f t="shared" si="47"/>
        <v>0</v>
      </c>
      <c r="BJ49" s="1069">
        <f t="shared" si="48"/>
        <v>0</v>
      </c>
      <c r="BK49" s="1069">
        <f t="shared" si="49"/>
        <v>0</v>
      </c>
      <c r="BL49" s="1069">
        <f t="shared" si="50"/>
        <v>0</v>
      </c>
      <c r="BM49" s="1070"/>
    </row>
    <row r="50" spans="1:65" ht="39.75" thickTop="1" thickBot="1">
      <c r="A50" s="1083"/>
      <c r="B50" s="1083"/>
      <c r="C50" s="511"/>
      <c r="D50" s="511"/>
      <c r="E50" s="511"/>
      <c r="F50" s="511"/>
      <c r="G50" s="511"/>
      <c r="H50" s="1071" t="str">
        <f>+'Anexo 1 Matriz Inf Gestión-GD'!A54</f>
        <v>3206.01.01 Gestión e implementación de Estrategias y/o Proyectos de mitigación y adaptación al cambio climático, en el marco de los planteamientos del -PIGCC- Territorial del Cesar</v>
      </c>
      <c r="I50" s="1072"/>
      <c r="J50" s="1072"/>
      <c r="K50" s="1072"/>
      <c r="L50" s="1072"/>
      <c r="M50" s="1072"/>
      <c r="N50" s="1072"/>
      <c r="O50" s="1072"/>
      <c r="P50" s="1072"/>
      <c r="Q50" s="1072"/>
      <c r="R50" s="1072"/>
      <c r="S50" s="1072"/>
      <c r="T50" s="1072"/>
      <c r="U50" s="1072"/>
      <c r="V50" s="1072"/>
      <c r="W50" s="1072"/>
      <c r="X50" s="1072"/>
      <c r="Y50" s="1072"/>
      <c r="Z50" s="1072"/>
      <c r="AA50" s="1072"/>
      <c r="AB50" s="1072"/>
      <c r="AC50" s="1072"/>
      <c r="AD50" s="1072"/>
      <c r="AE50" s="1072"/>
      <c r="AF50" s="1072"/>
      <c r="AG50" s="1072"/>
      <c r="AH50" s="1072"/>
      <c r="AI50" s="1072"/>
      <c r="AJ50" s="1072"/>
      <c r="AK50" s="1072"/>
      <c r="AL50" s="1072"/>
      <c r="AM50" s="1072"/>
      <c r="AN50" s="1072"/>
      <c r="AO50" s="1072"/>
      <c r="AP50" s="1072"/>
      <c r="AQ50" s="1072"/>
      <c r="AR50" s="1072"/>
      <c r="AS50" s="1072"/>
      <c r="AT50" s="1072"/>
      <c r="AU50" s="1072"/>
      <c r="AV50" s="1072"/>
      <c r="AW50" s="1072"/>
      <c r="AX50" s="1072"/>
      <c r="AY50" s="1072"/>
      <c r="AZ50" s="1072"/>
      <c r="BA50" s="1072"/>
      <c r="BB50" s="1072"/>
      <c r="BC50" s="1072"/>
      <c r="BD50" s="1072"/>
      <c r="BE50" s="1072"/>
      <c r="BF50" s="1072"/>
      <c r="BG50" s="1072"/>
      <c r="BH50" s="1072"/>
      <c r="BI50" s="1073">
        <f t="shared" si="47"/>
        <v>0</v>
      </c>
      <c r="BJ50" s="1073">
        <f t="shared" si="48"/>
        <v>0</v>
      </c>
      <c r="BK50" s="1073">
        <f t="shared" si="49"/>
        <v>0</v>
      </c>
      <c r="BL50" s="1073">
        <f t="shared" si="50"/>
        <v>0</v>
      </c>
      <c r="BM50" s="508"/>
    </row>
    <row r="51" spans="1:65" ht="39.75" thickTop="1" thickBot="1">
      <c r="A51" s="1083"/>
      <c r="B51" s="1083"/>
      <c r="C51" s="511"/>
      <c r="D51" s="511"/>
      <c r="E51" s="511"/>
      <c r="F51" s="511"/>
      <c r="G51" s="511"/>
      <c r="H51" s="1071" t="str">
        <f>+'Anexo 1 Matriz Inf Gestión-GD'!A55</f>
        <v>3206.01.02 Implementación del SIA de cambio climático dptal y apoyo efectivo al sistema de Registro Nacional de Reducción de Emisiones de Gases de Efecto Invernadero - RENARE</v>
      </c>
      <c r="I51" s="1072"/>
      <c r="J51" s="1072"/>
      <c r="K51" s="1072"/>
      <c r="L51" s="1072"/>
      <c r="M51" s="1072"/>
      <c r="N51" s="1072"/>
      <c r="O51" s="1072"/>
      <c r="P51" s="1072"/>
      <c r="Q51" s="1072"/>
      <c r="R51" s="1072"/>
      <c r="S51" s="1072"/>
      <c r="T51" s="1072"/>
      <c r="U51" s="1072"/>
      <c r="V51" s="1072"/>
      <c r="W51" s="1072"/>
      <c r="X51" s="1072"/>
      <c r="Y51" s="1072"/>
      <c r="Z51" s="1072"/>
      <c r="AA51" s="1072"/>
      <c r="AB51" s="1072"/>
      <c r="AC51" s="1072"/>
      <c r="AD51" s="1072"/>
      <c r="AE51" s="1072"/>
      <c r="AF51" s="1072"/>
      <c r="AG51" s="1072"/>
      <c r="AH51" s="1072"/>
      <c r="AI51" s="1072"/>
      <c r="AJ51" s="1072"/>
      <c r="AK51" s="1072"/>
      <c r="AL51" s="1072"/>
      <c r="AM51" s="1072"/>
      <c r="AN51" s="1072"/>
      <c r="AO51" s="1072"/>
      <c r="AP51" s="1072"/>
      <c r="AQ51" s="1072"/>
      <c r="AR51" s="1072"/>
      <c r="AS51" s="1072"/>
      <c r="AT51" s="1072"/>
      <c r="AU51" s="1072"/>
      <c r="AV51" s="1072"/>
      <c r="AW51" s="1072"/>
      <c r="AX51" s="1072"/>
      <c r="AY51" s="1072"/>
      <c r="AZ51" s="1072"/>
      <c r="BA51" s="1072"/>
      <c r="BB51" s="1072"/>
      <c r="BC51" s="1072"/>
      <c r="BD51" s="1072"/>
      <c r="BE51" s="1072"/>
      <c r="BF51" s="1072"/>
      <c r="BG51" s="1072"/>
      <c r="BH51" s="1072"/>
      <c r="BI51" s="1073">
        <f t="shared" si="47"/>
        <v>0</v>
      </c>
      <c r="BJ51" s="1073">
        <f t="shared" si="48"/>
        <v>0</v>
      </c>
      <c r="BK51" s="1073">
        <f t="shared" si="49"/>
        <v>0</v>
      </c>
      <c r="BL51" s="1073">
        <f t="shared" si="50"/>
        <v>0</v>
      </c>
      <c r="BM51" s="508"/>
    </row>
    <row r="52" spans="1:65" ht="27" thickTop="1" thickBot="1">
      <c r="A52" s="1083"/>
      <c r="B52" s="1083"/>
      <c r="C52" s="511"/>
      <c r="D52" s="511"/>
      <c r="E52" s="511"/>
      <c r="F52" s="511"/>
      <c r="G52" s="511"/>
      <c r="H52" s="1071" t="str">
        <f>+'Anexo 1 Matriz Inf Gestión-GD'!A56</f>
        <v>3206.01.03 Fortalecimiento de la participación y gestión de Corpocesar, en el Nodo Regional de Cambio Climático -NRCC- del Caribe</v>
      </c>
      <c r="I52" s="1072"/>
      <c r="J52" s="1072"/>
      <c r="K52" s="1072"/>
      <c r="L52" s="1072"/>
      <c r="M52" s="1072"/>
      <c r="N52" s="1072"/>
      <c r="O52" s="1072"/>
      <c r="P52" s="1072"/>
      <c r="Q52" s="1072"/>
      <c r="R52" s="1072"/>
      <c r="S52" s="1072"/>
      <c r="T52" s="1072"/>
      <c r="U52" s="1072"/>
      <c r="V52" s="1072"/>
      <c r="W52" s="1072"/>
      <c r="X52" s="1072"/>
      <c r="Y52" s="1072"/>
      <c r="Z52" s="1072"/>
      <c r="AA52" s="1072"/>
      <c r="AB52" s="1072"/>
      <c r="AC52" s="1072"/>
      <c r="AD52" s="1072"/>
      <c r="AE52" s="1072"/>
      <c r="AF52" s="1072"/>
      <c r="AG52" s="1072"/>
      <c r="AH52" s="1072"/>
      <c r="AI52" s="1072"/>
      <c r="AJ52" s="1072"/>
      <c r="AK52" s="1072"/>
      <c r="AL52" s="1072"/>
      <c r="AM52" s="1072"/>
      <c r="AN52" s="1072"/>
      <c r="AO52" s="1072"/>
      <c r="AP52" s="1072"/>
      <c r="AQ52" s="1072"/>
      <c r="AR52" s="1072"/>
      <c r="AS52" s="1072"/>
      <c r="AT52" s="1072"/>
      <c r="AU52" s="1072"/>
      <c r="AV52" s="1072"/>
      <c r="AW52" s="1072"/>
      <c r="AX52" s="1072"/>
      <c r="AY52" s="1072"/>
      <c r="AZ52" s="1072"/>
      <c r="BA52" s="1072"/>
      <c r="BB52" s="1072"/>
      <c r="BC52" s="1072"/>
      <c r="BD52" s="1072"/>
      <c r="BE52" s="1072"/>
      <c r="BF52" s="1072"/>
      <c r="BG52" s="1072"/>
      <c r="BH52" s="1072"/>
      <c r="BI52" s="1073">
        <f t="shared" si="47"/>
        <v>0</v>
      </c>
      <c r="BJ52" s="1073">
        <f t="shared" si="48"/>
        <v>0</v>
      </c>
      <c r="BK52" s="1073">
        <f t="shared" si="49"/>
        <v>0</v>
      </c>
      <c r="BL52" s="1073">
        <f t="shared" si="50"/>
        <v>0</v>
      </c>
      <c r="BM52" s="508"/>
    </row>
    <row r="53" spans="1:65" ht="27" thickTop="1" thickBot="1">
      <c r="A53" s="1066"/>
      <c r="B53" s="1066"/>
      <c r="C53" s="1066"/>
      <c r="D53" s="1066"/>
      <c r="E53" s="1077"/>
      <c r="F53" s="1077"/>
      <c r="G53" s="1078"/>
      <c r="H53" s="1067" t="str">
        <f>+'Anexo 1 Matriz Inf Gestión-GD'!A57</f>
        <v>Proyecto 3206.02 Implementación de acciones para la operación de la EDANA en el área de jurisdicción de Corpocesar</v>
      </c>
      <c r="I53" s="1068">
        <f>SUM(I54:I56)</f>
        <v>0</v>
      </c>
      <c r="J53" s="1068">
        <f t="shared" ref="J53:AL53" si="258">SUM(J54:J56)</f>
        <v>0</v>
      </c>
      <c r="K53" s="1068">
        <f t="shared" si="258"/>
        <v>0</v>
      </c>
      <c r="L53" s="1068">
        <f t="shared" si="258"/>
        <v>0</v>
      </c>
      <c r="M53" s="1068">
        <f t="shared" si="258"/>
        <v>0</v>
      </c>
      <c r="N53" s="1068">
        <f t="shared" si="258"/>
        <v>0</v>
      </c>
      <c r="O53" s="1068">
        <f t="shared" si="258"/>
        <v>0</v>
      </c>
      <c r="P53" s="1068">
        <f t="shared" si="258"/>
        <v>0</v>
      </c>
      <c r="Q53" s="1068">
        <f t="shared" si="258"/>
        <v>0</v>
      </c>
      <c r="R53" s="1068">
        <f t="shared" si="258"/>
        <v>0</v>
      </c>
      <c r="S53" s="1068">
        <f t="shared" si="258"/>
        <v>0</v>
      </c>
      <c r="T53" s="1068">
        <f t="shared" si="258"/>
        <v>0</v>
      </c>
      <c r="U53" s="1068">
        <f t="shared" si="258"/>
        <v>0</v>
      </c>
      <c r="V53" s="1068">
        <f t="shared" si="258"/>
        <v>0</v>
      </c>
      <c r="W53" s="1068">
        <f t="shared" si="258"/>
        <v>0</v>
      </c>
      <c r="X53" s="1068">
        <f t="shared" si="258"/>
        <v>0</v>
      </c>
      <c r="Y53" s="1068">
        <f t="shared" si="258"/>
        <v>0</v>
      </c>
      <c r="Z53" s="1068">
        <f t="shared" si="258"/>
        <v>0</v>
      </c>
      <c r="AA53" s="1068">
        <f t="shared" si="258"/>
        <v>0</v>
      </c>
      <c r="AB53" s="1068">
        <f t="shared" si="258"/>
        <v>0</v>
      </c>
      <c r="AC53" s="1068">
        <f t="shared" si="258"/>
        <v>0</v>
      </c>
      <c r="AD53" s="1068">
        <f t="shared" si="258"/>
        <v>0</v>
      </c>
      <c r="AE53" s="1068">
        <f t="shared" si="258"/>
        <v>0</v>
      </c>
      <c r="AF53" s="1068">
        <f t="shared" si="258"/>
        <v>0</v>
      </c>
      <c r="AG53" s="1068">
        <f t="shared" si="258"/>
        <v>0</v>
      </c>
      <c r="AH53" s="1068">
        <f t="shared" si="258"/>
        <v>0</v>
      </c>
      <c r="AI53" s="1068">
        <f t="shared" si="258"/>
        <v>0</v>
      </c>
      <c r="AJ53" s="1068">
        <f t="shared" si="258"/>
        <v>0</v>
      </c>
      <c r="AK53" s="1068">
        <f t="shared" si="258"/>
        <v>0</v>
      </c>
      <c r="AL53" s="1068">
        <f t="shared" si="258"/>
        <v>0</v>
      </c>
      <c r="AM53" s="1068">
        <f t="shared" ref="AM53" si="259">SUM(AM54:AM56)</f>
        <v>0</v>
      </c>
      <c r="AN53" s="1068">
        <f t="shared" ref="AN53" si="260">SUM(AN54:AN56)</f>
        <v>0</v>
      </c>
      <c r="AO53" s="1068">
        <f t="shared" ref="AO53" si="261">SUM(AO54:AO56)</f>
        <v>0</v>
      </c>
      <c r="AP53" s="1068">
        <f t="shared" ref="AP53" si="262">SUM(AP54:AP56)</f>
        <v>0</v>
      </c>
      <c r="AQ53" s="1068">
        <f t="shared" ref="AQ53" si="263">SUM(AQ54:AQ56)</f>
        <v>0</v>
      </c>
      <c r="AR53" s="1068">
        <f t="shared" ref="AR53" si="264">SUM(AR54:AR56)</f>
        <v>0</v>
      </c>
      <c r="AS53" s="1068">
        <f t="shared" ref="AS53" si="265">SUM(AS54:AS56)</f>
        <v>0</v>
      </c>
      <c r="AT53" s="1068">
        <f t="shared" ref="AT53" si="266">SUM(AT54:AT56)</f>
        <v>0</v>
      </c>
      <c r="AU53" s="1068">
        <f t="shared" ref="AU53" si="267">SUM(AU54:AU56)</f>
        <v>0</v>
      </c>
      <c r="AV53" s="1068">
        <f t="shared" ref="AV53" si="268">SUM(AV54:AV56)</f>
        <v>0</v>
      </c>
      <c r="AW53" s="1068">
        <f t="shared" ref="AW53" si="269">SUM(AW54:AW56)</f>
        <v>0</v>
      </c>
      <c r="AX53" s="1068">
        <f t="shared" ref="AX53" si="270">SUM(AX54:AX56)</f>
        <v>0</v>
      </c>
      <c r="AY53" s="1068">
        <f t="shared" ref="AY53" si="271">SUM(AY54:AY56)</f>
        <v>0</v>
      </c>
      <c r="AZ53" s="1068">
        <f t="shared" ref="AZ53" si="272">SUM(AZ54:AZ56)</f>
        <v>0</v>
      </c>
      <c r="BA53" s="1068">
        <f t="shared" ref="BA53" si="273">SUM(BA54:BA56)</f>
        <v>0</v>
      </c>
      <c r="BB53" s="1068">
        <f t="shared" ref="BB53" si="274">SUM(BB54:BB56)</f>
        <v>0</v>
      </c>
      <c r="BC53" s="1068">
        <f t="shared" ref="BC53" si="275">SUM(BC54:BC56)</f>
        <v>0</v>
      </c>
      <c r="BD53" s="1068">
        <f t="shared" ref="BD53" si="276">SUM(BD54:BD56)</f>
        <v>0</v>
      </c>
      <c r="BE53" s="1068">
        <f t="shared" ref="BE53" si="277">SUM(BE54:BE56)</f>
        <v>0</v>
      </c>
      <c r="BF53" s="1068">
        <f t="shared" ref="BF53" si="278">SUM(BF54:BF56)</f>
        <v>0</v>
      </c>
      <c r="BG53" s="1068">
        <f t="shared" ref="BG53" si="279">SUM(BG54:BG56)</f>
        <v>0</v>
      </c>
      <c r="BH53" s="1068">
        <f t="shared" ref="BH53" si="280">SUM(BH54:BH56)</f>
        <v>0</v>
      </c>
      <c r="BI53" s="1069">
        <f t="shared" si="47"/>
        <v>0</v>
      </c>
      <c r="BJ53" s="1069">
        <f t="shared" si="48"/>
        <v>0</v>
      </c>
      <c r="BK53" s="1069">
        <f t="shared" si="49"/>
        <v>0</v>
      </c>
      <c r="BL53" s="1069">
        <f t="shared" si="50"/>
        <v>0</v>
      </c>
      <c r="BM53" s="1070"/>
    </row>
    <row r="54" spans="1:65" s="1109" customFormat="1" ht="39.75" thickTop="1" thickBot="1">
      <c r="A54" s="1079"/>
      <c r="B54" s="1079"/>
      <c r="C54" s="1079"/>
      <c r="D54" s="1079"/>
      <c r="E54" s="1103"/>
      <c r="F54" s="1103"/>
      <c r="G54" s="1104"/>
      <c r="H54" s="1106" t="str">
        <f>+'Anexo 1 Matriz Inf Gestión-GD'!A58</f>
        <v>3206.02.01 Gestión para la implementación de la Metodología que permita al sector ambiente realizar una evaluación de daños y necesidades ambientales -EDANA en zonas continentales impactadas por desastres naturales, socionaturales y/o antrópicos</v>
      </c>
      <c r="I54" s="1107"/>
      <c r="J54" s="1107"/>
      <c r="K54" s="1107"/>
      <c r="L54" s="1107"/>
      <c r="M54" s="1107"/>
      <c r="N54" s="1107"/>
      <c r="O54" s="1107"/>
      <c r="P54" s="1107"/>
      <c r="Q54" s="1107"/>
      <c r="R54" s="1107"/>
      <c r="S54" s="1107"/>
      <c r="T54" s="1107"/>
      <c r="U54" s="1107"/>
      <c r="V54" s="1107"/>
      <c r="W54" s="1107"/>
      <c r="X54" s="1107"/>
      <c r="Y54" s="1107"/>
      <c r="Z54" s="1107"/>
      <c r="AA54" s="1107"/>
      <c r="AB54" s="1107"/>
      <c r="AC54" s="1107"/>
      <c r="AD54" s="1107"/>
      <c r="AE54" s="1107"/>
      <c r="AF54" s="1107"/>
      <c r="AG54" s="1107"/>
      <c r="AH54" s="1107"/>
      <c r="AI54" s="1107"/>
      <c r="AJ54" s="1107"/>
      <c r="AK54" s="1107"/>
      <c r="AL54" s="1107"/>
      <c r="AM54" s="1107"/>
      <c r="AN54" s="1107"/>
      <c r="AO54" s="1107"/>
      <c r="AP54" s="1107"/>
      <c r="AQ54" s="1107"/>
      <c r="AR54" s="1107"/>
      <c r="AS54" s="1107"/>
      <c r="AT54" s="1107"/>
      <c r="AU54" s="1107"/>
      <c r="AV54" s="1107"/>
      <c r="AW54" s="1107"/>
      <c r="AX54" s="1107"/>
      <c r="AY54" s="1107"/>
      <c r="AZ54" s="1107"/>
      <c r="BA54" s="1107"/>
      <c r="BB54" s="1107"/>
      <c r="BC54" s="1107"/>
      <c r="BD54" s="1107"/>
      <c r="BE54" s="1107"/>
      <c r="BF54" s="1107"/>
      <c r="BG54" s="1107"/>
      <c r="BH54" s="1107"/>
      <c r="BI54" s="1108">
        <f t="shared" si="47"/>
        <v>0</v>
      </c>
      <c r="BJ54" s="1108">
        <f t="shared" si="48"/>
        <v>0</v>
      </c>
      <c r="BK54" s="1108">
        <f t="shared" si="49"/>
        <v>0</v>
      </c>
      <c r="BL54" s="1108">
        <f t="shared" si="50"/>
        <v>0</v>
      </c>
      <c r="BM54" s="1105"/>
    </row>
    <row r="55" spans="1:65" ht="16.5" thickTop="1" thickBot="1">
      <c r="A55" s="509"/>
      <c r="B55" s="509"/>
      <c r="C55" s="511"/>
      <c r="D55" s="511"/>
      <c r="E55" s="510"/>
      <c r="F55" s="510"/>
      <c r="G55" s="510"/>
      <c r="H55" s="1071" t="str">
        <f>+'Anexo 1 Matriz Inf Gestión-GD'!A59</f>
        <v>3206.02.02 Implementación PILOTO de EDANA en zona priorizada</v>
      </c>
      <c r="I55" s="1072"/>
      <c r="J55" s="1072"/>
      <c r="K55" s="1072"/>
      <c r="L55" s="1072"/>
      <c r="M55" s="1072"/>
      <c r="N55" s="1072"/>
      <c r="O55" s="1072"/>
      <c r="P55" s="1072"/>
      <c r="Q55" s="1072"/>
      <c r="R55" s="1072"/>
      <c r="S55" s="1072"/>
      <c r="T55" s="1072"/>
      <c r="U55" s="1072"/>
      <c r="V55" s="1072"/>
      <c r="W55" s="1072"/>
      <c r="X55" s="1072"/>
      <c r="Y55" s="1072"/>
      <c r="Z55" s="1072"/>
      <c r="AA55" s="1072"/>
      <c r="AB55" s="1072"/>
      <c r="AC55" s="1072"/>
      <c r="AD55" s="1072"/>
      <c r="AE55" s="1072"/>
      <c r="AF55" s="1072"/>
      <c r="AG55" s="1072"/>
      <c r="AH55" s="1072"/>
      <c r="AI55" s="1072"/>
      <c r="AJ55" s="1072"/>
      <c r="AK55" s="1072"/>
      <c r="AL55" s="1072"/>
      <c r="AM55" s="1072"/>
      <c r="AN55" s="1072"/>
      <c r="AO55" s="1072"/>
      <c r="AP55" s="1072"/>
      <c r="AQ55" s="1072"/>
      <c r="AR55" s="1072"/>
      <c r="AS55" s="1072"/>
      <c r="AT55" s="1072"/>
      <c r="AU55" s="1072"/>
      <c r="AV55" s="1072"/>
      <c r="AW55" s="1072"/>
      <c r="AX55" s="1072"/>
      <c r="AY55" s="1072"/>
      <c r="AZ55" s="1072"/>
      <c r="BA55" s="1072"/>
      <c r="BB55" s="1072"/>
      <c r="BC55" s="1072"/>
      <c r="BD55" s="1072"/>
      <c r="BE55" s="1072"/>
      <c r="BF55" s="1072"/>
      <c r="BG55" s="1072"/>
      <c r="BH55" s="1072"/>
      <c r="BI55" s="1073">
        <f t="shared" si="47"/>
        <v>0</v>
      </c>
      <c r="BJ55" s="1073">
        <f t="shared" si="48"/>
        <v>0</v>
      </c>
      <c r="BK55" s="1073">
        <f t="shared" si="49"/>
        <v>0</v>
      </c>
      <c r="BL55" s="1073">
        <f t="shared" si="50"/>
        <v>0</v>
      </c>
      <c r="BM55" s="508"/>
    </row>
    <row r="56" spans="1:65" ht="16.5" thickTop="1" thickBot="1">
      <c r="A56" s="509"/>
      <c r="B56" s="509"/>
      <c r="C56" s="511"/>
      <c r="D56" s="511"/>
      <c r="E56" s="510"/>
      <c r="F56" s="510"/>
      <c r="G56" s="510"/>
      <c r="H56" s="1071" t="str">
        <f>+'Anexo 1 Matriz Inf Gestión-GD'!A60</f>
        <v>3206.02.03 Diseño, Gestión e institucionalización operativa de EDANA Corpocesar</v>
      </c>
      <c r="I56" s="1072"/>
      <c r="J56" s="1072"/>
      <c r="K56" s="1072"/>
      <c r="L56" s="1072"/>
      <c r="M56" s="1072"/>
      <c r="N56" s="1072"/>
      <c r="O56" s="1072"/>
      <c r="P56" s="1072"/>
      <c r="Q56" s="1072"/>
      <c r="R56" s="1072"/>
      <c r="S56" s="1072"/>
      <c r="T56" s="1072"/>
      <c r="U56" s="1072"/>
      <c r="V56" s="1072"/>
      <c r="W56" s="1072"/>
      <c r="X56" s="1072"/>
      <c r="Y56" s="1072"/>
      <c r="Z56" s="1072"/>
      <c r="AA56" s="1072"/>
      <c r="AB56" s="1072"/>
      <c r="AC56" s="1072"/>
      <c r="AD56" s="1072"/>
      <c r="AE56" s="1072"/>
      <c r="AF56" s="1072"/>
      <c r="AG56" s="1072"/>
      <c r="AH56" s="1072"/>
      <c r="AI56" s="1072"/>
      <c r="AJ56" s="1072"/>
      <c r="AK56" s="1072"/>
      <c r="AL56" s="1072"/>
      <c r="AM56" s="1072"/>
      <c r="AN56" s="1072"/>
      <c r="AO56" s="1072"/>
      <c r="AP56" s="1072"/>
      <c r="AQ56" s="1072"/>
      <c r="AR56" s="1072"/>
      <c r="AS56" s="1072"/>
      <c r="AT56" s="1072"/>
      <c r="AU56" s="1072"/>
      <c r="AV56" s="1072"/>
      <c r="AW56" s="1072"/>
      <c r="AX56" s="1072"/>
      <c r="AY56" s="1072"/>
      <c r="AZ56" s="1072"/>
      <c r="BA56" s="1072"/>
      <c r="BB56" s="1072"/>
      <c r="BC56" s="1072"/>
      <c r="BD56" s="1072"/>
      <c r="BE56" s="1072"/>
      <c r="BF56" s="1072"/>
      <c r="BG56" s="1072"/>
      <c r="BH56" s="1072"/>
      <c r="BI56" s="1073">
        <f t="shared" si="47"/>
        <v>0</v>
      </c>
      <c r="BJ56" s="1073">
        <f t="shared" si="48"/>
        <v>0</v>
      </c>
      <c r="BK56" s="1073">
        <f t="shared" si="49"/>
        <v>0</v>
      </c>
      <c r="BL56" s="1073">
        <f t="shared" si="50"/>
        <v>0</v>
      </c>
      <c r="BM56" s="508"/>
    </row>
    <row r="57" spans="1:65" ht="27" thickTop="1" thickBot="1">
      <c r="A57" s="1066"/>
      <c r="B57" s="1066"/>
      <c r="C57" s="1066"/>
      <c r="D57" s="1066"/>
      <c r="E57" s="1077"/>
      <c r="F57" s="1077"/>
      <c r="G57" s="1084"/>
      <c r="H57" s="1067" t="str">
        <f>+'Anexo 1 Matriz Inf Gestión-GD'!A61</f>
        <v>Proyecto 3206.03 Gestión de conocimiento e implementación de medidas para la  reducción del riesgo ambiental en áreas prioritarias del dpto. del Cesar.</v>
      </c>
      <c r="I57" s="1068">
        <f>SUM(I58:I61)</f>
        <v>0</v>
      </c>
      <c r="J57" s="1068">
        <f t="shared" ref="J57:AL57" si="281">SUM(J58:J61)</f>
        <v>0</v>
      </c>
      <c r="K57" s="1068">
        <f t="shared" si="281"/>
        <v>0</v>
      </c>
      <c r="L57" s="1068">
        <f t="shared" si="281"/>
        <v>0</v>
      </c>
      <c r="M57" s="1068">
        <f t="shared" si="281"/>
        <v>0</v>
      </c>
      <c r="N57" s="1068">
        <f t="shared" si="281"/>
        <v>0</v>
      </c>
      <c r="O57" s="1068">
        <f t="shared" si="281"/>
        <v>0</v>
      </c>
      <c r="P57" s="1068">
        <f t="shared" si="281"/>
        <v>0</v>
      </c>
      <c r="Q57" s="1068">
        <f t="shared" si="281"/>
        <v>0</v>
      </c>
      <c r="R57" s="1068">
        <f t="shared" si="281"/>
        <v>0</v>
      </c>
      <c r="S57" s="1068">
        <f t="shared" si="281"/>
        <v>0</v>
      </c>
      <c r="T57" s="1068">
        <f t="shared" si="281"/>
        <v>0</v>
      </c>
      <c r="U57" s="1068">
        <f t="shared" si="281"/>
        <v>0</v>
      </c>
      <c r="V57" s="1068">
        <f t="shared" si="281"/>
        <v>0</v>
      </c>
      <c r="W57" s="1068">
        <f t="shared" si="281"/>
        <v>0</v>
      </c>
      <c r="X57" s="1068">
        <f t="shared" si="281"/>
        <v>0</v>
      </c>
      <c r="Y57" s="1068">
        <f t="shared" si="281"/>
        <v>0</v>
      </c>
      <c r="Z57" s="1068">
        <f t="shared" si="281"/>
        <v>0</v>
      </c>
      <c r="AA57" s="1068">
        <f t="shared" si="281"/>
        <v>0</v>
      </c>
      <c r="AB57" s="1068">
        <f t="shared" si="281"/>
        <v>0</v>
      </c>
      <c r="AC57" s="1068">
        <f t="shared" si="281"/>
        <v>0</v>
      </c>
      <c r="AD57" s="1068">
        <f t="shared" si="281"/>
        <v>0</v>
      </c>
      <c r="AE57" s="1068">
        <f t="shared" si="281"/>
        <v>0</v>
      </c>
      <c r="AF57" s="1068">
        <f t="shared" si="281"/>
        <v>0</v>
      </c>
      <c r="AG57" s="1068">
        <f t="shared" si="281"/>
        <v>0</v>
      </c>
      <c r="AH57" s="1068">
        <f t="shared" si="281"/>
        <v>0</v>
      </c>
      <c r="AI57" s="1068">
        <f t="shared" si="281"/>
        <v>0</v>
      </c>
      <c r="AJ57" s="1068">
        <f t="shared" si="281"/>
        <v>0</v>
      </c>
      <c r="AK57" s="1068">
        <f t="shared" si="281"/>
        <v>0</v>
      </c>
      <c r="AL57" s="1068">
        <f t="shared" si="281"/>
        <v>0</v>
      </c>
      <c r="AM57" s="1068">
        <f t="shared" ref="AM57" si="282">SUM(AM58:AM61)</f>
        <v>0</v>
      </c>
      <c r="AN57" s="1068">
        <f t="shared" ref="AN57" si="283">SUM(AN58:AN61)</f>
        <v>0</v>
      </c>
      <c r="AO57" s="1068">
        <f t="shared" ref="AO57" si="284">SUM(AO58:AO61)</f>
        <v>0</v>
      </c>
      <c r="AP57" s="1068">
        <f t="shared" ref="AP57" si="285">SUM(AP58:AP61)</f>
        <v>0</v>
      </c>
      <c r="AQ57" s="1068">
        <f t="shared" ref="AQ57" si="286">SUM(AQ58:AQ61)</f>
        <v>0</v>
      </c>
      <c r="AR57" s="1068">
        <f t="shared" ref="AR57" si="287">SUM(AR58:AR61)</f>
        <v>0</v>
      </c>
      <c r="AS57" s="1068">
        <f t="shared" ref="AS57" si="288">SUM(AS58:AS61)</f>
        <v>0</v>
      </c>
      <c r="AT57" s="1068">
        <f t="shared" ref="AT57" si="289">SUM(AT58:AT61)</f>
        <v>0</v>
      </c>
      <c r="AU57" s="1068">
        <f t="shared" ref="AU57" si="290">SUM(AU58:AU61)</f>
        <v>0</v>
      </c>
      <c r="AV57" s="1068">
        <f t="shared" ref="AV57" si="291">SUM(AV58:AV61)</f>
        <v>0</v>
      </c>
      <c r="AW57" s="1068">
        <f t="shared" ref="AW57" si="292">SUM(AW58:AW61)</f>
        <v>0</v>
      </c>
      <c r="AX57" s="1068">
        <f t="shared" ref="AX57" si="293">SUM(AX58:AX61)</f>
        <v>0</v>
      </c>
      <c r="AY57" s="1068">
        <f t="shared" ref="AY57" si="294">SUM(AY58:AY61)</f>
        <v>0</v>
      </c>
      <c r="AZ57" s="1068">
        <f t="shared" ref="AZ57" si="295">SUM(AZ58:AZ61)</f>
        <v>0</v>
      </c>
      <c r="BA57" s="1068">
        <f t="shared" ref="BA57" si="296">SUM(BA58:BA61)</f>
        <v>0</v>
      </c>
      <c r="BB57" s="1068">
        <f t="shared" ref="BB57" si="297">SUM(BB58:BB61)</f>
        <v>0</v>
      </c>
      <c r="BC57" s="1068">
        <f t="shared" ref="BC57" si="298">SUM(BC58:BC61)</f>
        <v>0</v>
      </c>
      <c r="BD57" s="1068">
        <f t="shared" ref="BD57" si="299">SUM(BD58:BD61)</f>
        <v>0</v>
      </c>
      <c r="BE57" s="1068">
        <f t="shared" ref="BE57" si="300">SUM(BE58:BE61)</f>
        <v>0</v>
      </c>
      <c r="BF57" s="1068">
        <f t="shared" ref="BF57" si="301">SUM(BF58:BF61)</f>
        <v>0</v>
      </c>
      <c r="BG57" s="1068">
        <f t="shared" ref="BG57" si="302">SUM(BG58:BG61)</f>
        <v>0</v>
      </c>
      <c r="BH57" s="1068">
        <f t="shared" ref="BH57" si="303">SUM(BH58:BH61)</f>
        <v>0</v>
      </c>
      <c r="BI57" s="1069">
        <f t="shared" si="47"/>
        <v>0</v>
      </c>
      <c r="BJ57" s="1069">
        <f t="shared" si="48"/>
        <v>0</v>
      </c>
      <c r="BK57" s="1069">
        <f t="shared" si="49"/>
        <v>0</v>
      </c>
      <c r="BL57" s="1069">
        <f t="shared" si="50"/>
        <v>0</v>
      </c>
      <c r="BM57" s="1070"/>
    </row>
    <row r="58" spans="1:65" ht="27" thickTop="1" thickBot="1">
      <c r="A58" s="509"/>
      <c r="B58" s="509"/>
      <c r="C58" s="509"/>
      <c r="D58" s="510"/>
      <c r="E58" s="510"/>
      <c r="F58" s="510"/>
      <c r="G58" s="510"/>
      <c r="H58" s="1071" t="str">
        <f>+'Anexo 1 Matriz Inf Gestión-GD'!A62</f>
        <v>3206.03.01 Gestión y ejecución de Acciones de conocimiento para la reducción del riesgo asociado al cambio climático, enmarcadas en la GRD. (Estudios de detalle)</v>
      </c>
      <c r="I58" s="1072"/>
      <c r="J58" s="1072"/>
      <c r="K58" s="1072"/>
      <c r="L58" s="1072"/>
      <c r="M58" s="1072"/>
      <c r="N58" s="1072"/>
      <c r="O58" s="1072"/>
      <c r="P58" s="1072"/>
      <c r="Q58" s="1072"/>
      <c r="R58" s="1072"/>
      <c r="S58" s="1072"/>
      <c r="T58" s="1072"/>
      <c r="U58" s="1072"/>
      <c r="V58" s="1072"/>
      <c r="W58" s="1072"/>
      <c r="X58" s="1072"/>
      <c r="Y58" s="1072"/>
      <c r="Z58" s="1072"/>
      <c r="AA58" s="1072"/>
      <c r="AB58" s="1072"/>
      <c r="AC58" s="1072"/>
      <c r="AD58" s="1072"/>
      <c r="AE58" s="1072"/>
      <c r="AF58" s="1072"/>
      <c r="AG58" s="1072"/>
      <c r="AH58" s="1072"/>
      <c r="AI58" s="1072"/>
      <c r="AJ58" s="1072"/>
      <c r="AK58" s="1072"/>
      <c r="AL58" s="1072"/>
      <c r="AM58" s="1072"/>
      <c r="AN58" s="1072"/>
      <c r="AO58" s="1072"/>
      <c r="AP58" s="1072"/>
      <c r="AQ58" s="1072"/>
      <c r="AR58" s="1072"/>
      <c r="AS58" s="1072"/>
      <c r="AT58" s="1072"/>
      <c r="AU58" s="1072"/>
      <c r="AV58" s="1072"/>
      <c r="AW58" s="1072"/>
      <c r="AX58" s="1072"/>
      <c r="AY58" s="1072"/>
      <c r="AZ58" s="1072"/>
      <c r="BA58" s="1072"/>
      <c r="BB58" s="1072"/>
      <c r="BC58" s="1072"/>
      <c r="BD58" s="1072"/>
      <c r="BE58" s="1072"/>
      <c r="BF58" s="1072"/>
      <c r="BG58" s="1072"/>
      <c r="BH58" s="1072"/>
      <c r="BI58" s="1073">
        <f t="shared" si="47"/>
        <v>0</v>
      </c>
      <c r="BJ58" s="1073">
        <f t="shared" si="48"/>
        <v>0</v>
      </c>
      <c r="BK58" s="1073">
        <f t="shared" si="49"/>
        <v>0</v>
      </c>
      <c r="BL58" s="1073">
        <f t="shared" si="50"/>
        <v>0</v>
      </c>
      <c r="BM58" s="508"/>
    </row>
    <row r="59" spans="1:65" ht="27" thickTop="1" thickBot="1">
      <c r="A59" s="509"/>
      <c r="B59" s="509"/>
      <c r="C59" s="509"/>
      <c r="D59" s="510"/>
      <c r="E59" s="510"/>
      <c r="F59" s="510"/>
      <c r="G59" s="510"/>
      <c r="H59" s="1071" t="str">
        <f>+'Anexo 1 Matriz Inf Gestión-GD'!A63</f>
        <v>3206.03.02 Gestión e implementación de Medidas estructurales y/o proyectos para la REDUCCION del riesgo</v>
      </c>
      <c r="I59" s="1072"/>
      <c r="J59" s="1072"/>
      <c r="K59" s="1072"/>
      <c r="L59" s="1072"/>
      <c r="M59" s="1072"/>
      <c r="N59" s="1072"/>
      <c r="O59" s="1072"/>
      <c r="P59" s="1072"/>
      <c r="Q59" s="1072"/>
      <c r="R59" s="1072"/>
      <c r="S59" s="1072"/>
      <c r="T59" s="1072"/>
      <c r="U59" s="1072"/>
      <c r="V59" s="1072"/>
      <c r="W59" s="1072"/>
      <c r="X59" s="1072"/>
      <c r="Y59" s="1072"/>
      <c r="Z59" s="1072"/>
      <c r="AA59" s="1072"/>
      <c r="AB59" s="1072"/>
      <c r="AC59" s="1072"/>
      <c r="AD59" s="1072"/>
      <c r="AE59" s="1072"/>
      <c r="AF59" s="1072"/>
      <c r="AG59" s="1072"/>
      <c r="AH59" s="1072"/>
      <c r="AI59" s="1072"/>
      <c r="AJ59" s="1072"/>
      <c r="AK59" s="1072"/>
      <c r="AL59" s="1072"/>
      <c r="AM59" s="1072"/>
      <c r="AN59" s="1072"/>
      <c r="AO59" s="1072"/>
      <c r="AP59" s="1072"/>
      <c r="AQ59" s="1072"/>
      <c r="AR59" s="1072"/>
      <c r="AS59" s="1072"/>
      <c r="AT59" s="1072"/>
      <c r="AU59" s="1072"/>
      <c r="AV59" s="1072"/>
      <c r="AW59" s="1072"/>
      <c r="AX59" s="1072"/>
      <c r="AY59" s="1072"/>
      <c r="AZ59" s="1072"/>
      <c r="BA59" s="1072"/>
      <c r="BB59" s="1072"/>
      <c r="BC59" s="1072"/>
      <c r="BD59" s="1072"/>
      <c r="BE59" s="1072"/>
      <c r="BF59" s="1072"/>
      <c r="BG59" s="1072"/>
      <c r="BH59" s="1072"/>
      <c r="BI59" s="1073">
        <f t="shared" si="47"/>
        <v>0</v>
      </c>
      <c r="BJ59" s="1073">
        <f t="shared" si="48"/>
        <v>0</v>
      </c>
      <c r="BK59" s="1073">
        <f t="shared" si="49"/>
        <v>0</v>
      </c>
      <c r="BL59" s="1073">
        <f t="shared" si="50"/>
        <v>0</v>
      </c>
      <c r="BM59" s="508"/>
    </row>
    <row r="60" spans="1:65" ht="27" thickTop="1" thickBot="1">
      <c r="A60" s="509"/>
      <c r="B60" s="509"/>
      <c r="C60" s="509"/>
      <c r="D60" s="510"/>
      <c r="E60" s="510"/>
      <c r="F60" s="510"/>
      <c r="G60" s="510"/>
      <c r="H60" s="1071" t="str">
        <f>+'Anexo 1 Matriz Inf Gestión-GD'!A64</f>
        <v>3206.03.03 (A) Gestión, implementación y evaluación de Medidas no estructurales y/o proyectos para la REDUCCION del riesgo</v>
      </c>
      <c r="I60" s="1072"/>
      <c r="J60" s="1072"/>
      <c r="K60" s="1072"/>
      <c r="L60" s="1072"/>
      <c r="M60" s="1072"/>
      <c r="N60" s="1072"/>
      <c r="O60" s="1072"/>
      <c r="P60" s="1072"/>
      <c r="Q60" s="1072"/>
      <c r="R60" s="1072"/>
      <c r="S60" s="1072"/>
      <c r="T60" s="1072"/>
      <c r="U60" s="1072"/>
      <c r="V60" s="1072"/>
      <c r="W60" s="1072"/>
      <c r="X60" s="1072"/>
      <c r="Y60" s="1072"/>
      <c r="Z60" s="1072"/>
      <c r="AA60" s="1072"/>
      <c r="AB60" s="1072"/>
      <c r="AC60" s="1072"/>
      <c r="AD60" s="1072"/>
      <c r="AE60" s="1072"/>
      <c r="AF60" s="1072"/>
      <c r="AG60" s="1072"/>
      <c r="AH60" s="1072"/>
      <c r="AI60" s="1072"/>
      <c r="AJ60" s="1072"/>
      <c r="AK60" s="1072"/>
      <c r="AL60" s="1072"/>
      <c r="AM60" s="1072"/>
      <c r="AN60" s="1072"/>
      <c r="AO60" s="1072"/>
      <c r="AP60" s="1072"/>
      <c r="AQ60" s="1072"/>
      <c r="AR60" s="1072"/>
      <c r="AS60" s="1072"/>
      <c r="AT60" s="1072"/>
      <c r="AU60" s="1072"/>
      <c r="AV60" s="1072"/>
      <c r="AW60" s="1072"/>
      <c r="AX60" s="1072"/>
      <c r="AY60" s="1072"/>
      <c r="AZ60" s="1072"/>
      <c r="BA60" s="1072"/>
      <c r="BB60" s="1072"/>
      <c r="BC60" s="1072"/>
      <c r="BD60" s="1072"/>
      <c r="BE60" s="1072"/>
      <c r="BF60" s="1072"/>
      <c r="BG60" s="1072"/>
      <c r="BH60" s="1072"/>
      <c r="BI60" s="1073">
        <f t="shared" si="47"/>
        <v>0</v>
      </c>
      <c r="BJ60" s="1073">
        <f t="shared" si="48"/>
        <v>0</v>
      </c>
      <c r="BK60" s="1073">
        <f t="shared" si="49"/>
        <v>0</v>
      </c>
      <c r="BL60" s="1073">
        <f t="shared" si="50"/>
        <v>0</v>
      </c>
      <c r="BM60" s="508"/>
    </row>
    <row r="61" spans="1:65" ht="27" thickTop="1" thickBot="1">
      <c r="A61" s="509"/>
      <c r="B61" s="509"/>
      <c r="C61" s="509"/>
      <c r="D61" s="510"/>
      <c r="E61" s="510"/>
      <c r="F61" s="510"/>
      <c r="G61" s="510"/>
      <c r="H61" s="1071" t="str">
        <f>+'Anexo 1 Matriz Inf Gestión-GD'!A65</f>
        <v>3206.03.03 (B)Evaluación de Medidas no estructurales y/o proyectos para la REDUCCION del riesgo</v>
      </c>
      <c r="I61" s="1072"/>
      <c r="J61" s="1072"/>
      <c r="K61" s="1072"/>
      <c r="L61" s="1072"/>
      <c r="M61" s="1072"/>
      <c r="N61" s="1072"/>
      <c r="O61" s="1072"/>
      <c r="P61" s="1072"/>
      <c r="Q61" s="1072"/>
      <c r="R61" s="1072"/>
      <c r="S61" s="1072"/>
      <c r="T61" s="1072"/>
      <c r="U61" s="1072"/>
      <c r="V61" s="1072"/>
      <c r="W61" s="1072"/>
      <c r="X61" s="1072"/>
      <c r="Y61" s="1072"/>
      <c r="Z61" s="1072"/>
      <c r="AA61" s="1072"/>
      <c r="AB61" s="1072"/>
      <c r="AC61" s="1072"/>
      <c r="AD61" s="1072"/>
      <c r="AE61" s="1072"/>
      <c r="AF61" s="1072"/>
      <c r="AG61" s="1072"/>
      <c r="AH61" s="1072"/>
      <c r="AI61" s="1072"/>
      <c r="AJ61" s="1072"/>
      <c r="AK61" s="1072"/>
      <c r="AL61" s="1072"/>
      <c r="AM61" s="1072"/>
      <c r="AN61" s="1072"/>
      <c r="AO61" s="1072"/>
      <c r="AP61" s="1072"/>
      <c r="AQ61" s="1072"/>
      <c r="AR61" s="1072"/>
      <c r="AS61" s="1072"/>
      <c r="AT61" s="1072"/>
      <c r="AU61" s="1072"/>
      <c r="AV61" s="1072"/>
      <c r="AW61" s="1072"/>
      <c r="AX61" s="1072"/>
      <c r="AY61" s="1072"/>
      <c r="AZ61" s="1072"/>
      <c r="BA61" s="1072"/>
      <c r="BB61" s="1072"/>
      <c r="BC61" s="1072"/>
      <c r="BD61" s="1072"/>
      <c r="BE61" s="1072"/>
      <c r="BF61" s="1072"/>
      <c r="BG61" s="1072"/>
      <c r="BH61" s="1072"/>
      <c r="BI61" s="1073">
        <f t="shared" si="47"/>
        <v>0</v>
      </c>
      <c r="BJ61" s="1073">
        <f t="shared" si="48"/>
        <v>0</v>
      </c>
      <c r="BK61" s="1073">
        <f t="shared" si="49"/>
        <v>0</v>
      </c>
      <c r="BL61" s="1073">
        <f t="shared" si="50"/>
        <v>0</v>
      </c>
      <c r="BM61" s="508"/>
    </row>
    <row r="62" spans="1:65" ht="28.5" thickTop="1" thickBot="1">
      <c r="A62" s="1054"/>
      <c r="B62" s="1055"/>
      <c r="C62" s="1055"/>
      <c r="D62" s="1055"/>
      <c r="E62" s="1054"/>
      <c r="F62" s="1054"/>
      <c r="G62" s="1054"/>
      <c r="H62" s="1056" t="str">
        <f>+'Anexo 1 Matriz Inf Gestión-GD'!A66</f>
        <v>LINEA ESTRATÉGICA 5. GESTIÓN DE ASUNTOS AMBIENTALES SECTORIALES</v>
      </c>
      <c r="I62" s="1057">
        <f>+I63+I103</f>
        <v>0</v>
      </c>
      <c r="J62" s="1057">
        <f t="shared" ref="J62:AL62" si="304">+J63+J103</f>
        <v>0</v>
      </c>
      <c r="K62" s="1057">
        <f t="shared" si="304"/>
        <v>0</v>
      </c>
      <c r="L62" s="1057">
        <f t="shared" si="304"/>
        <v>0</v>
      </c>
      <c r="M62" s="1057">
        <f t="shared" si="304"/>
        <v>0</v>
      </c>
      <c r="N62" s="1057">
        <f t="shared" si="304"/>
        <v>0</v>
      </c>
      <c r="O62" s="1057">
        <f t="shared" si="304"/>
        <v>0</v>
      </c>
      <c r="P62" s="1057">
        <f t="shared" si="304"/>
        <v>0</v>
      </c>
      <c r="Q62" s="1057">
        <f t="shared" si="304"/>
        <v>0</v>
      </c>
      <c r="R62" s="1057">
        <f t="shared" si="304"/>
        <v>0</v>
      </c>
      <c r="S62" s="1057">
        <f t="shared" si="304"/>
        <v>0</v>
      </c>
      <c r="T62" s="1057">
        <f t="shared" si="304"/>
        <v>0</v>
      </c>
      <c r="U62" s="1057">
        <f t="shared" si="304"/>
        <v>0</v>
      </c>
      <c r="V62" s="1057">
        <f t="shared" si="304"/>
        <v>0</v>
      </c>
      <c r="W62" s="1057">
        <f t="shared" si="304"/>
        <v>0</v>
      </c>
      <c r="X62" s="1057">
        <f t="shared" si="304"/>
        <v>0</v>
      </c>
      <c r="Y62" s="1057">
        <f t="shared" si="304"/>
        <v>0</v>
      </c>
      <c r="Z62" s="1057">
        <f t="shared" si="304"/>
        <v>0</v>
      </c>
      <c r="AA62" s="1057">
        <f t="shared" si="304"/>
        <v>0</v>
      </c>
      <c r="AB62" s="1057">
        <f t="shared" si="304"/>
        <v>0</v>
      </c>
      <c r="AC62" s="1057">
        <f t="shared" si="304"/>
        <v>0</v>
      </c>
      <c r="AD62" s="1057">
        <f t="shared" si="304"/>
        <v>0</v>
      </c>
      <c r="AE62" s="1057">
        <f t="shared" si="304"/>
        <v>0</v>
      </c>
      <c r="AF62" s="1057">
        <f t="shared" si="304"/>
        <v>0</v>
      </c>
      <c r="AG62" s="1057">
        <f t="shared" si="304"/>
        <v>0</v>
      </c>
      <c r="AH62" s="1057">
        <f t="shared" si="304"/>
        <v>0</v>
      </c>
      <c r="AI62" s="1057">
        <f t="shared" si="304"/>
        <v>0</v>
      </c>
      <c r="AJ62" s="1057">
        <f t="shared" si="304"/>
        <v>0</v>
      </c>
      <c r="AK62" s="1057">
        <f t="shared" si="304"/>
        <v>0</v>
      </c>
      <c r="AL62" s="1057">
        <f t="shared" si="304"/>
        <v>0</v>
      </c>
      <c r="AM62" s="1057">
        <f t="shared" ref="AM62" si="305">+AM63+AM103</f>
        <v>0</v>
      </c>
      <c r="AN62" s="1057">
        <f t="shared" ref="AN62" si="306">+AN63+AN103</f>
        <v>0</v>
      </c>
      <c r="AO62" s="1057">
        <f t="shared" ref="AO62" si="307">+AO63+AO103</f>
        <v>0</v>
      </c>
      <c r="AP62" s="1057">
        <f t="shared" ref="AP62" si="308">+AP63+AP103</f>
        <v>0</v>
      </c>
      <c r="AQ62" s="1057">
        <f t="shared" ref="AQ62" si="309">+AQ63+AQ103</f>
        <v>0</v>
      </c>
      <c r="AR62" s="1057">
        <f t="shared" ref="AR62" si="310">+AR63+AR103</f>
        <v>0</v>
      </c>
      <c r="AS62" s="1057">
        <f t="shared" ref="AS62" si="311">+AS63+AS103</f>
        <v>0</v>
      </c>
      <c r="AT62" s="1057">
        <f t="shared" ref="AT62" si="312">+AT63+AT103</f>
        <v>0</v>
      </c>
      <c r="AU62" s="1057">
        <f t="shared" ref="AU62" si="313">+AU63+AU103</f>
        <v>0</v>
      </c>
      <c r="AV62" s="1057">
        <f t="shared" ref="AV62" si="314">+AV63+AV103</f>
        <v>0</v>
      </c>
      <c r="AW62" s="1057">
        <f t="shared" ref="AW62" si="315">+AW63+AW103</f>
        <v>0</v>
      </c>
      <c r="AX62" s="1057">
        <f t="shared" ref="AX62" si="316">+AX63+AX103</f>
        <v>0</v>
      </c>
      <c r="AY62" s="1057">
        <f t="shared" ref="AY62" si="317">+AY63+AY103</f>
        <v>0</v>
      </c>
      <c r="AZ62" s="1057">
        <f t="shared" ref="AZ62" si="318">+AZ63+AZ103</f>
        <v>0</v>
      </c>
      <c r="BA62" s="1057">
        <f t="shared" ref="BA62" si="319">+BA63+BA103</f>
        <v>0</v>
      </c>
      <c r="BB62" s="1057">
        <f t="shared" ref="BB62" si="320">+BB63+BB103</f>
        <v>0</v>
      </c>
      <c r="BC62" s="1057">
        <f t="shared" ref="BC62" si="321">+BC63+BC103</f>
        <v>0</v>
      </c>
      <c r="BD62" s="1057">
        <f t="shared" ref="BD62" si="322">+BD63+BD103</f>
        <v>0</v>
      </c>
      <c r="BE62" s="1057">
        <f t="shared" ref="BE62" si="323">+BE63+BE103</f>
        <v>0</v>
      </c>
      <c r="BF62" s="1057">
        <f t="shared" ref="BF62" si="324">+BF63+BF103</f>
        <v>0</v>
      </c>
      <c r="BG62" s="1057">
        <f t="shared" ref="BG62" si="325">+BG63+BG103</f>
        <v>0</v>
      </c>
      <c r="BH62" s="1057">
        <f t="shared" ref="BH62" si="326">+BH63+BH103</f>
        <v>0</v>
      </c>
      <c r="BI62" s="1058">
        <f t="shared" si="47"/>
        <v>0</v>
      </c>
      <c r="BJ62" s="1058">
        <f t="shared" si="48"/>
        <v>0</v>
      </c>
      <c r="BK62" s="1058">
        <f t="shared" si="49"/>
        <v>0</v>
      </c>
      <c r="BL62" s="1058">
        <f t="shared" si="50"/>
        <v>0</v>
      </c>
      <c r="BM62" s="1059"/>
    </row>
    <row r="63" spans="1:65" ht="28.5" thickTop="1" thickBot="1">
      <c r="A63" s="1060"/>
      <c r="B63" s="1061"/>
      <c r="C63" s="1061"/>
      <c r="D63" s="1061"/>
      <c r="E63" s="1060"/>
      <c r="F63" s="1060"/>
      <c r="G63" s="1060"/>
      <c r="H63" s="1062" t="str">
        <f>+'Anexo 1 Matriz Inf Gestión-GD'!A67</f>
        <v>PROGRAMA 3202. CONSERVACIÓN DE LA BIODIVERSIDAD Y SUS SERVICIOS ECOSISTÉMICOS</v>
      </c>
      <c r="I63" s="1063">
        <f>+I64+I69+I74+I83+I88+I99</f>
        <v>0</v>
      </c>
      <c r="J63" s="1063">
        <f t="shared" ref="J63:AL63" si="327">+J64+J69+J74+J83+J88+J99</f>
        <v>0</v>
      </c>
      <c r="K63" s="1063">
        <f t="shared" si="327"/>
        <v>0</v>
      </c>
      <c r="L63" s="1063">
        <f t="shared" si="327"/>
        <v>0</v>
      </c>
      <c r="M63" s="1063">
        <f t="shared" si="327"/>
        <v>0</v>
      </c>
      <c r="N63" s="1063">
        <f t="shared" si="327"/>
        <v>0</v>
      </c>
      <c r="O63" s="1063">
        <f t="shared" si="327"/>
        <v>0</v>
      </c>
      <c r="P63" s="1063">
        <f t="shared" si="327"/>
        <v>0</v>
      </c>
      <c r="Q63" s="1063">
        <f t="shared" si="327"/>
        <v>0</v>
      </c>
      <c r="R63" s="1063">
        <f t="shared" si="327"/>
        <v>0</v>
      </c>
      <c r="S63" s="1063">
        <f t="shared" si="327"/>
        <v>0</v>
      </c>
      <c r="T63" s="1063">
        <f t="shared" si="327"/>
        <v>0</v>
      </c>
      <c r="U63" s="1063">
        <f t="shared" si="327"/>
        <v>0</v>
      </c>
      <c r="V63" s="1063">
        <f t="shared" si="327"/>
        <v>0</v>
      </c>
      <c r="W63" s="1063">
        <f t="shared" si="327"/>
        <v>0</v>
      </c>
      <c r="X63" s="1063">
        <f t="shared" si="327"/>
        <v>0</v>
      </c>
      <c r="Y63" s="1063">
        <f t="shared" si="327"/>
        <v>0</v>
      </c>
      <c r="Z63" s="1063">
        <f t="shared" si="327"/>
        <v>0</v>
      </c>
      <c r="AA63" s="1063">
        <f t="shared" si="327"/>
        <v>0</v>
      </c>
      <c r="AB63" s="1063">
        <f t="shared" si="327"/>
        <v>0</v>
      </c>
      <c r="AC63" s="1063">
        <f t="shared" si="327"/>
        <v>0</v>
      </c>
      <c r="AD63" s="1063">
        <f t="shared" si="327"/>
        <v>0</v>
      </c>
      <c r="AE63" s="1063">
        <f t="shared" si="327"/>
        <v>0</v>
      </c>
      <c r="AF63" s="1063">
        <f t="shared" si="327"/>
        <v>0</v>
      </c>
      <c r="AG63" s="1063">
        <f t="shared" si="327"/>
        <v>0</v>
      </c>
      <c r="AH63" s="1063">
        <f t="shared" si="327"/>
        <v>0</v>
      </c>
      <c r="AI63" s="1063">
        <f t="shared" si="327"/>
        <v>0</v>
      </c>
      <c r="AJ63" s="1063">
        <f t="shared" si="327"/>
        <v>0</v>
      </c>
      <c r="AK63" s="1063">
        <f t="shared" si="327"/>
        <v>0</v>
      </c>
      <c r="AL63" s="1063">
        <f t="shared" si="327"/>
        <v>0</v>
      </c>
      <c r="AM63" s="1063">
        <f t="shared" ref="AM63" si="328">+AM64+AM69+AM74+AM83+AM88+AM99</f>
        <v>0</v>
      </c>
      <c r="AN63" s="1063">
        <f t="shared" ref="AN63" si="329">+AN64+AN69+AN74+AN83+AN88+AN99</f>
        <v>0</v>
      </c>
      <c r="AO63" s="1063">
        <f t="shared" ref="AO63" si="330">+AO64+AO69+AO74+AO83+AO88+AO99</f>
        <v>0</v>
      </c>
      <c r="AP63" s="1063">
        <f t="shared" ref="AP63" si="331">+AP64+AP69+AP74+AP83+AP88+AP99</f>
        <v>0</v>
      </c>
      <c r="AQ63" s="1063">
        <f t="shared" ref="AQ63" si="332">+AQ64+AQ69+AQ74+AQ83+AQ88+AQ99</f>
        <v>0</v>
      </c>
      <c r="AR63" s="1063">
        <f t="shared" ref="AR63" si="333">+AR64+AR69+AR74+AR83+AR88+AR99</f>
        <v>0</v>
      </c>
      <c r="AS63" s="1063">
        <f t="shared" ref="AS63" si="334">+AS64+AS69+AS74+AS83+AS88+AS99</f>
        <v>0</v>
      </c>
      <c r="AT63" s="1063">
        <f t="shared" ref="AT63" si="335">+AT64+AT69+AT74+AT83+AT88+AT99</f>
        <v>0</v>
      </c>
      <c r="AU63" s="1063">
        <f t="shared" ref="AU63" si="336">+AU64+AU69+AU74+AU83+AU88+AU99</f>
        <v>0</v>
      </c>
      <c r="AV63" s="1063">
        <f t="shared" ref="AV63" si="337">+AV64+AV69+AV74+AV83+AV88+AV99</f>
        <v>0</v>
      </c>
      <c r="AW63" s="1063">
        <f t="shared" ref="AW63" si="338">+AW64+AW69+AW74+AW83+AW88+AW99</f>
        <v>0</v>
      </c>
      <c r="AX63" s="1063">
        <f t="shared" ref="AX63" si="339">+AX64+AX69+AX74+AX83+AX88+AX99</f>
        <v>0</v>
      </c>
      <c r="AY63" s="1063">
        <f t="shared" ref="AY63" si="340">+AY64+AY69+AY74+AY83+AY88+AY99</f>
        <v>0</v>
      </c>
      <c r="AZ63" s="1063">
        <f t="shared" ref="AZ63" si="341">+AZ64+AZ69+AZ74+AZ83+AZ88+AZ99</f>
        <v>0</v>
      </c>
      <c r="BA63" s="1063">
        <f t="shared" ref="BA63" si="342">+BA64+BA69+BA74+BA83+BA88+BA99</f>
        <v>0</v>
      </c>
      <c r="BB63" s="1063">
        <f t="shared" ref="BB63" si="343">+BB64+BB69+BB74+BB83+BB88+BB99</f>
        <v>0</v>
      </c>
      <c r="BC63" s="1063">
        <f t="shared" ref="BC63" si="344">+BC64+BC69+BC74+BC83+BC88+BC99</f>
        <v>0</v>
      </c>
      <c r="BD63" s="1063">
        <f t="shared" ref="BD63" si="345">+BD64+BD69+BD74+BD83+BD88+BD99</f>
        <v>0</v>
      </c>
      <c r="BE63" s="1063">
        <f t="shared" ref="BE63" si="346">+BE64+BE69+BE74+BE83+BE88+BE99</f>
        <v>0</v>
      </c>
      <c r="BF63" s="1063">
        <f t="shared" ref="BF63" si="347">+BF64+BF69+BF74+BF83+BF88+BF99</f>
        <v>0</v>
      </c>
      <c r="BG63" s="1063">
        <f t="shared" ref="BG63" si="348">+BG64+BG69+BG74+BG83+BG88+BG99</f>
        <v>0</v>
      </c>
      <c r="BH63" s="1063">
        <f t="shared" ref="BH63" si="349">+BH64+BH69+BH74+BH83+BH88+BH99</f>
        <v>0</v>
      </c>
      <c r="BI63" s="1064">
        <f t="shared" si="47"/>
        <v>0</v>
      </c>
      <c r="BJ63" s="1064">
        <f t="shared" si="48"/>
        <v>0</v>
      </c>
      <c r="BK63" s="1064">
        <f t="shared" si="49"/>
        <v>0</v>
      </c>
      <c r="BL63" s="1064">
        <f t="shared" si="50"/>
        <v>0</v>
      </c>
      <c r="BM63" s="1065"/>
    </row>
    <row r="64" spans="1:65" ht="27" thickTop="1" thickBot="1">
      <c r="A64" s="1066"/>
      <c r="B64" s="1066"/>
      <c r="C64" s="1066"/>
      <c r="D64" s="1066"/>
      <c r="E64" s="1077"/>
      <c r="F64" s="1077"/>
      <c r="G64" s="1078"/>
      <c r="H64" s="1067" t="str">
        <f>+'Anexo 1 Matriz Inf Gestión-GD'!A68</f>
        <v>Proyecto 3202.01 Gestión e implementación de acciones integrales para la restauración ecológica en el departamento del Cesar</v>
      </c>
      <c r="I64" s="1068">
        <f>SUM(I65:I68)</f>
        <v>0</v>
      </c>
      <c r="J64" s="1068">
        <f t="shared" ref="J64:AL64" si="350">SUM(J65:J68)</f>
        <v>0</v>
      </c>
      <c r="K64" s="1068">
        <f t="shared" si="350"/>
        <v>0</v>
      </c>
      <c r="L64" s="1068">
        <f t="shared" si="350"/>
        <v>0</v>
      </c>
      <c r="M64" s="1068">
        <f t="shared" si="350"/>
        <v>0</v>
      </c>
      <c r="N64" s="1068">
        <f t="shared" si="350"/>
        <v>0</v>
      </c>
      <c r="O64" s="1068">
        <f t="shared" si="350"/>
        <v>0</v>
      </c>
      <c r="P64" s="1068">
        <f t="shared" si="350"/>
        <v>0</v>
      </c>
      <c r="Q64" s="1068">
        <f t="shared" si="350"/>
        <v>0</v>
      </c>
      <c r="R64" s="1068">
        <f t="shared" si="350"/>
        <v>0</v>
      </c>
      <c r="S64" s="1068">
        <f t="shared" si="350"/>
        <v>0</v>
      </c>
      <c r="T64" s="1068">
        <f t="shared" si="350"/>
        <v>0</v>
      </c>
      <c r="U64" s="1068">
        <f t="shared" si="350"/>
        <v>0</v>
      </c>
      <c r="V64" s="1068">
        <f t="shared" si="350"/>
        <v>0</v>
      </c>
      <c r="W64" s="1068">
        <f t="shared" si="350"/>
        <v>0</v>
      </c>
      <c r="X64" s="1068">
        <f t="shared" si="350"/>
        <v>0</v>
      </c>
      <c r="Y64" s="1068">
        <f t="shared" si="350"/>
        <v>0</v>
      </c>
      <c r="Z64" s="1068">
        <f t="shared" si="350"/>
        <v>0</v>
      </c>
      <c r="AA64" s="1068">
        <f t="shared" si="350"/>
        <v>0</v>
      </c>
      <c r="AB64" s="1068">
        <f t="shared" si="350"/>
        <v>0</v>
      </c>
      <c r="AC64" s="1068">
        <f t="shared" si="350"/>
        <v>0</v>
      </c>
      <c r="AD64" s="1068">
        <f t="shared" si="350"/>
        <v>0</v>
      </c>
      <c r="AE64" s="1068">
        <f t="shared" si="350"/>
        <v>0</v>
      </c>
      <c r="AF64" s="1068">
        <f t="shared" si="350"/>
        <v>0</v>
      </c>
      <c r="AG64" s="1068">
        <f t="shared" si="350"/>
        <v>0</v>
      </c>
      <c r="AH64" s="1068">
        <f t="shared" si="350"/>
        <v>0</v>
      </c>
      <c r="AI64" s="1068">
        <f t="shared" si="350"/>
        <v>0</v>
      </c>
      <c r="AJ64" s="1068">
        <f t="shared" si="350"/>
        <v>0</v>
      </c>
      <c r="AK64" s="1068">
        <f t="shared" si="350"/>
        <v>0</v>
      </c>
      <c r="AL64" s="1068">
        <f t="shared" si="350"/>
        <v>0</v>
      </c>
      <c r="AM64" s="1068">
        <f t="shared" ref="AM64" si="351">SUM(AM65:AM68)</f>
        <v>0</v>
      </c>
      <c r="AN64" s="1068">
        <f t="shared" ref="AN64" si="352">SUM(AN65:AN68)</f>
        <v>0</v>
      </c>
      <c r="AO64" s="1068">
        <f t="shared" ref="AO64" si="353">SUM(AO65:AO68)</f>
        <v>0</v>
      </c>
      <c r="AP64" s="1068">
        <f t="shared" ref="AP64" si="354">SUM(AP65:AP68)</f>
        <v>0</v>
      </c>
      <c r="AQ64" s="1068">
        <f t="shared" ref="AQ64" si="355">SUM(AQ65:AQ68)</f>
        <v>0</v>
      </c>
      <c r="AR64" s="1068">
        <f t="shared" ref="AR64" si="356">SUM(AR65:AR68)</f>
        <v>0</v>
      </c>
      <c r="AS64" s="1068">
        <f t="shared" ref="AS64" si="357">SUM(AS65:AS68)</f>
        <v>0</v>
      </c>
      <c r="AT64" s="1068">
        <f t="shared" ref="AT64" si="358">SUM(AT65:AT68)</f>
        <v>0</v>
      </c>
      <c r="AU64" s="1068">
        <f t="shared" ref="AU64" si="359">SUM(AU65:AU68)</f>
        <v>0</v>
      </c>
      <c r="AV64" s="1068">
        <f t="shared" ref="AV64" si="360">SUM(AV65:AV68)</f>
        <v>0</v>
      </c>
      <c r="AW64" s="1068">
        <f t="shared" ref="AW64" si="361">SUM(AW65:AW68)</f>
        <v>0</v>
      </c>
      <c r="AX64" s="1068">
        <f t="shared" ref="AX64" si="362">SUM(AX65:AX68)</f>
        <v>0</v>
      </c>
      <c r="AY64" s="1068">
        <f t="shared" ref="AY64" si="363">SUM(AY65:AY68)</f>
        <v>0</v>
      </c>
      <c r="AZ64" s="1068">
        <f t="shared" ref="AZ64" si="364">SUM(AZ65:AZ68)</f>
        <v>0</v>
      </c>
      <c r="BA64" s="1068">
        <f t="shared" ref="BA64" si="365">SUM(BA65:BA68)</f>
        <v>0</v>
      </c>
      <c r="BB64" s="1068">
        <f t="shared" ref="BB64" si="366">SUM(BB65:BB68)</f>
        <v>0</v>
      </c>
      <c r="BC64" s="1068">
        <f t="shared" ref="BC64" si="367">SUM(BC65:BC68)</f>
        <v>0</v>
      </c>
      <c r="BD64" s="1068">
        <f t="shared" ref="BD64" si="368">SUM(BD65:BD68)</f>
        <v>0</v>
      </c>
      <c r="BE64" s="1068">
        <f t="shared" ref="BE64" si="369">SUM(BE65:BE68)</f>
        <v>0</v>
      </c>
      <c r="BF64" s="1068">
        <f t="shared" ref="BF64" si="370">SUM(BF65:BF68)</f>
        <v>0</v>
      </c>
      <c r="BG64" s="1068">
        <f t="shared" ref="BG64" si="371">SUM(BG65:BG68)</f>
        <v>0</v>
      </c>
      <c r="BH64" s="1068">
        <f t="shared" ref="BH64" si="372">SUM(BH65:BH68)</f>
        <v>0</v>
      </c>
      <c r="BI64" s="1069">
        <f t="shared" si="47"/>
        <v>0</v>
      </c>
      <c r="BJ64" s="1069">
        <f t="shared" si="48"/>
        <v>0</v>
      </c>
      <c r="BK64" s="1069">
        <f t="shared" si="49"/>
        <v>0</v>
      </c>
      <c r="BL64" s="1069">
        <f t="shared" si="50"/>
        <v>0</v>
      </c>
      <c r="BM64" s="1070"/>
    </row>
    <row r="65" spans="1:65" ht="27" thickTop="1" thickBot="1">
      <c r="A65" s="509"/>
      <c r="B65" s="509"/>
      <c r="C65" s="511"/>
      <c r="D65" s="511"/>
      <c r="E65" s="510"/>
      <c r="F65" s="510"/>
      <c r="G65" s="509"/>
      <c r="H65" s="1071" t="str">
        <f>+'Anexo 1 Matriz Inf Gestión-GD'!A69</f>
        <v>3202.01.01. Identificaciòn y priorizacion de las zonas prioritarias para restaurar y recuperar en las cinco (5) ERE del Dpto.</v>
      </c>
      <c r="I65" s="1072"/>
      <c r="J65" s="1072"/>
      <c r="K65" s="1072"/>
      <c r="L65" s="1072"/>
      <c r="M65" s="1072"/>
      <c r="N65" s="1072"/>
      <c r="O65" s="1072"/>
      <c r="P65" s="1072"/>
      <c r="Q65" s="1072"/>
      <c r="R65" s="1072"/>
      <c r="S65" s="1072"/>
      <c r="T65" s="1072"/>
      <c r="U65" s="1072"/>
      <c r="V65" s="1072"/>
      <c r="W65" s="1072"/>
      <c r="X65" s="1072"/>
      <c r="Y65" s="1072"/>
      <c r="Z65" s="1072"/>
      <c r="AA65" s="1072"/>
      <c r="AB65" s="1072"/>
      <c r="AC65" s="1072"/>
      <c r="AD65" s="1072"/>
      <c r="AE65" s="1072"/>
      <c r="AF65" s="1072"/>
      <c r="AG65" s="1072"/>
      <c r="AH65" s="1072"/>
      <c r="AI65" s="1072"/>
      <c r="AJ65" s="1072"/>
      <c r="AK65" s="1072"/>
      <c r="AL65" s="1072"/>
      <c r="AM65" s="1072"/>
      <c r="AN65" s="1072"/>
      <c r="AO65" s="1072"/>
      <c r="AP65" s="1072"/>
      <c r="AQ65" s="1072"/>
      <c r="AR65" s="1072"/>
      <c r="AS65" s="1072"/>
      <c r="AT65" s="1072"/>
      <c r="AU65" s="1072"/>
      <c r="AV65" s="1072"/>
      <c r="AW65" s="1072"/>
      <c r="AX65" s="1072"/>
      <c r="AY65" s="1072"/>
      <c r="AZ65" s="1072"/>
      <c r="BA65" s="1072"/>
      <c r="BB65" s="1072"/>
      <c r="BC65" s="1072"/>
      <c r="BD65" s="1072"/>
      <c r="BE65" s="1072"/>
      <c r="BF65" s="1072"/>
      <c r="BG65" s="1072"/>
      <c r="BH65" s="1072"/>
      <c r="BI65" s="1073">
        <f t="shared" si="47"/>
        <v>0</v>
      </c>
      <c r="BJ65" s="1073">
        <f t="shared" si="48"/>
        <v>0</v>
      </c>
      <c r="BK65" s="1073">
        <f t="shared" si="49"/>
        <v>0</v>
      </c>
      <c r="BL65" s="1073">
        <f t="shared" si="50"/>
        <v>0</v>
      </c>
      <c r="BM65" s="508"/>
    </row>
    <row r="66" spans="1:65" s="1093" customFormat="1" ht="27" thickTop="1" thickBot="1">
      <c r="A66" s="513"/>
      <c r="B66" s="513"/>
      <c r="C66" s="513"/>
      <c r="D66" s="513"/>
      <c r="E66" s="1100"/>
      <c r="F66" s="1100"/>
      <c r="G66" s="1101"/>
      <c r="H66" s="1090" t="str">
        <f>+'Anexo 1 Matriz Inf Gestión-GD'!A70</f>
        <v>3202.01.02. Formulación e implementación de proyectos de restauración Ecològica Integral - REI-en alianzas con actores claves. (metodologia SER)</v>
      </c>
      <c r="I66" s="1091"/>
      <c r="J66" s="1091"/>
      <c r="K66" s="1091"/>
      <c r="L66" s="1091"/>
      <c r="M66" s="1091"/>
      <c r="N66" s="1091"/>
      <c r="O66" s="1091"/>
      <c r="P66" s="1091"/>
      <c r="Q66" s="1091"/>
      <c r="R66" s="1091"/>
      <c r="S66" s="1091"/>
      <c r="T66" s="1091"/>
      <c r="U66" s="1091"/>
      <c r="V66" s="1091"/>
      <c r="W66" s="1091"/>
      <c r="X66" s="1091"/>
      <c r="Y66" s="1091"/>
      <c r="Z66" s="1091"/>
      <c r="AA66" s="1091"/>
      <c r="AB66" s="1091"/>
      <c r="AC66" s="1091"/>
      <c r="AD66" s="1091"/>
      <c r="AE66" s="1091"/>
      <c r="AF66" s="1091"/>
      <c r="AG66" s="1091"/>
      <c r="AH66" s="1091"/>
      <c r="AI66" s="1091"/>
      <c r="AJ66" s="1091"/>
      <c r="AK66" s="1091"/>
      <c r="AL66" s="1091"/>
      <c r="AM66" s="1091"/>
      <c r="AN66" s="1091"/>
      <c r="AO66" s="1091"/>
      <c r="AP66" s="1091"/>
      <c r="AQ66" s="1091"/>
      <c r="AR66" s="1091"/>
      <c r="AS66" s="1091"/>
      <c r="AT66" s="1091"/>
      <c r="AU66" s="1091"/>
      <c r="AV66" s="1091"/>
      <c r="AW66" s="1091"/>
      <c r="AX66" s="1091"/>
      <c r="AY66" s="1091"/>
      <c r="AZ66" s="1091"/>
      <c r="BA66" s="1091"/>
      <c r="BB66" s="1091"/>
      <c r="BC66" s="1091"/>
      <c r="BD66" s="1091"/>
      <c r="BE66" s="1091"/>
      <c r="BF66" s="1091"/>
      <c r="BG66" s="1091"/>
      <c r="BH66" s="1091"/>
      <c r="BI66" s="1092">
        <f t="shared" si="47"/>
        <v>0</v>
      </c>
      <c r="BJ66" s="1092">
        <f t="shared" si="48"/>
        <v>0</v>
      </c>
      <c r="BK66" s="1092">
        <f t="shared" si="49"/>
        <v>0</v>
      </c>
      <c r="BL66" s="1092">
        <f t="shared" si="50"/>
        <v>0</v>
      </c>
      <c r="BM66" s="1089"/>
    </row>
    <row r="67" spans="1:65" ht="27" thickTop="1" thickBot="1">
      <c r="A67" s="509"/>
      <c r="B67" s="509"/>
      <c r="C67" s="510"/>
      <c r="D67" s="510"/>
      <c r="E67" s="510"/>
      <c r="F67" s="510"/>
      <c r="G67" s="510"/>
      <c r="H67" s="1071" t="str">
        <f>+'Anexo 1 Matriz Inf Gestión-GD'!A71</f>
        <v>3202.01.03. Monitoreo, seguimiento y evaluaciòn de las acciones de REI en implementaciòn</v>
      </c>
      <c r="I67" s="1072"/>
      <c r="J67" s="1072"/>
      <c r="K67" s="1072"/>
      <c r="L67" s="1072"/>
      <c r="M67" s="1072"/>
      <c r="N67" s="1072"/>
      <c r="O67" s="1072"/>
      <c r="P67" s="1072"/>
      <c r="Q67" s="1072"/>
      <c r="R67" s="1072"/>
      <c r="S67" s="1072"/>
      <c r="T67" s="1072"/>
      <c r="U67" s="1072"/>
      <c r="V67" s="1072"/>
      <c r="W67" s="1072"/>
      <c r="X67" s="1072"/>
      <c r="Y67" s="1072"/>
      <c r="Z67" s="1072"/>
      <c r="AA67" s="1072"/>
      <c r="AB67" s="1072"/>
      <c r="AC67" s="1072"/>
      <c r="AD67" s="1072"/>
      <c r="AE67" s="1072"/>
      <c r="AF67" s="1072"/>
      <c r="AG67" s="1072"/>
      <c r="AH67" s="1072"/>
      <c r="AI67" s="1072"/>
      <c r="AJ67" s="1072"/>
      <c r="AK67" s="1072"/>
      <c r="AL67" s="1072"/>
      <c r="AM67" s="1072"/>
      <c r="AN67" s="1072"/>
      <c r="AO67" s="1072"/>
      <c r="AP67" s="1072"/>
      <c r="AQ67" s="1072"/>
      <c r="AR67" s="1072"/>
      <c r="AS67" s="1072"/>
      <c r="AT67" s="1072"/>
      <c r="AU67" s="1072"/>
      <c r="AV67" s="1072"/>
      <c r="AW67" s="1072"/>
      <c r="AX67" s="1072"/>
      <c r="AY67" s="1072"/>
      <c r="AZ67" s="1072"/>
      <c r="BA67" s="1072"/>
      <c r="BB67" s="1072"/>
      <c r="BC67" s="1072"/>
      <c r="BD67" s="1072"/>
      <c r="BE67" s="1072"/>
      <c r="BF67" s="1072"/>
      <c r="BG67" s="1072"/>
      <c r="BH67" s="1072"/>
      <c r="BI67" s="1073">
        <f t="shared" si="47"/>
        <v>0</v>
      </c>
      <c r="BJ67" s="1073">
        <f t="shared" si="48"/>
        <v>0</v>
      </c>
      <c r="BK67" s="1073">
        <f t="shared" si="49"/>
        <v>0</v>
      </c>
      <c r="BL67" s="1073">
        <f t="shared" si="50"/>
        <v>0</v>
      </c>
      <c r="BM67" s="508"/>
    </row>
    <row r="68" spans="1:65" ht="16.5" thickTop="1" thickBot="1">
      <c r="A68" s="509"/>
      <c r="B68" s="509"/>
      <c r="C68" s="510"/>
      <c r="D68" s="510"/>
      <c r="E68" s="510"/>
      <c r="F68" s="510"/>
      <c r="G68" s="510"/>
      <c r="H68" s="1071" t="str">
        <f>+'Anexo 1 Matriz Inf Gestión-GD'!A72</f>
        <v>3202.01.04. Reporte, comunicación y divulgación de la evolución del proceso de REI.</v>
      </c>
      <c r="I68" s="1072"/>
      <c r="J68" s="1072"/>
      <c r="K68" s="1072"/>
      <c r="L68" s="1072"/>
      <c r="M68" s="1072"/>
      <c r="N68" s="1072"/>
      <c r="O68" s="1072"/>
      <c r="P68" s="1072"/>
      <c r="Q68" s="1072"/>
      <c r="R68" s="1072"/>
      <c r="S68" s="1072"/>
      <c r="T68" s="1072"/>
      <c r="U68" s="1072"/>
      <c r="V68" s="1072"/>
      <c r="W68" s="1072"/>
      <c r="X68" s="1072"/>
      <c r="Y68" s="1072"/>
      <c r="Z68" s="1072"/>
      <c r="AA68" s="1072"/>
      <c r="AB68" s="1072"/>
      <c r="AC68" s="1072"/>
      <c r="AD68" s="1072"/>
      <c r="AE68" s="1072"/>
      <c r="AF68" s="1072"/>
      <c r="AG68" s="1072"/>
      <c r="AH68" s="1072"/>
      <c r="AI68" s="1072"/>
      <c r="AJ68" s="1072"/>
      <c r="AK68" s="1072"/>
      <c r="AL68" s="1072"/>
      <c r="AM68" s="1072"/>
      <c r="AN68" s="1072"/>
      <c r="AO68" s="1072"/>
      <c r="AP68" s="1072"/>
      <c r="AQ68" s="1072"/>
      <c r="AR68" s="1072"/>
      <c r="AS68" s="1072"/>
      <c r="AT68" s="1072"/>
      <c r="AU68" s="1072"/>
      <c r="AV68" s="1072"/>
      <c r="AW68" s="1072"/>
      <c r="AX68" s="1072"/>
      <c r="AY68" s="1072"/>
      <c r="AZ68" s="1072"/>
      <c r="BA68" s="1072"/>
      <c r="BB68" s="1072"/>
      <c r="BC68" s="1072"/>
      <c r="BD68" s="1072"/>
      <c r="BE68" s="1072"/>
      <c r="BF68" s="1072"/>
      <c r="BG68" s="1072"/>
      <c r="BH68" s="1072"/>
      <c r="BI68" s="1073">
        <f t="shared" ref="BI68:BI131" si="373">+I68+M68+Q68+U68+Y68+AC68+AG68+AK68+AO68+AS68+AW68+BA68+BE68</f>
        <v>0</v>
      </c>
      <c r="BJ68" s="1073">
        <f t="shared" ref="BJ68:BJ131" si="374">+J68+N68+R68+V68+Z68+AD68+AH68+AL68+AP68+AT68+AX68+BB68+BF68</f>
        <v>0</v>
      </c>
      <c r="BK68" s="1073">
        <f t="shared" ref="BK68:BK131" si="375">+K68+O68+S68+W68+AA68+AE68+AI68+AM68+AQ68+AU68+AY68+BC68+BG68</f>
        <v>0</v>
      </c>
      <c r="BL68" s="1073">
        <f t="shared" ref="BL68:BL131" si="376">+L68+P68+T68+X68+AB68+AF68+AJ68+AN68+AR68+AV68+AZ68+BD68+BH68</f>
        <v>0</v>
      </c>
      <c r="BM68" s="508"/>
    </row>
    <row r="69" spans="1:65" ht="52.5" thickTop="1" thickBot="1">
      <c r="A69" s="1066"/>
      <c r="B69" s="1066"/>
      <c r="C69" s="1066"/>
      <c r="D69" s="1066"/>
      <c r="E69" s="1077"/>
      <c r="F69" s="1077"/>
      <c r="G69" s="1078"/>
      <c r="H69" s="1067" t="str">
        <f>+'Anexo 1 Matriz Inf Gestión-GD'!A73</f>
        <v>Proyecto 3202.02 Coordinación y Desarrollo de portafolios de sistemas sostenibles de conservación - SSC- (conservación, restauración, manejo sostenible, agroforestales, reconversión productiva) en el departamento del Cesar</v>
      </c>
      <c r="I69" s="1068">
        <f>SUM(I70:I73)</f>
        <v>0</v>
      </c>
      <c r="J69" s="1068">
        <f t="shared" ref="J69:AL69" si="377">SUM(J70:J73)</f>
        <v>0</v>
      </c>
      <c r="K69" s="1068">
        <f t="shared" si="377"/>
        <v>0</v>
      </c>
      <c r="L69" s="1068">
        <f t="shared" si="377"/>
        <v>0</v>
      </c>
      <c r="M69" s="1068">
        <f t="shared" si="377"/>
        <v>0</v>
      </c>
      <c r="N69" s="1068">
        <f t="shared" si="377"/>
        <v>0</v>
      </c>
      <c r="O69" s="1068">
        <f t="shared" si="377"/>
        <v>0</v>
      </c>
      <c r="P69" s="1068">
        <f t="shared" si="377"/>
        <v>0</v>
      </c>
      <c r="Q69" s="1068">
        <f t="shared" si="377"/>
        <v>0</v>
      </c>
      <c r="R69" s="1068">
        <f t="shared" si="377"/>
        <v>0</v>
      </c>
      <c r="S69" s="1068">
        <f t="shared" si="377"/>
        <v>0</v>
      </c>
      <c r="T69" s="1068">
        <f t="shared" si="377"/>
        <v>0</v>
      </c>
      <c r="U69" s="1068">
        <f t="shared" si="377"/>
        <v>0</v>
      </c>
      <c r="V69" s="1068">
        <f t="shared" si="377"/>
        <v>0</v>
      </c>
      <c r="W69" s="1068">
        <f t="shared" si="377"/>
        <v>0</v>
      </c>
      <c r="X69" s="1068">
        <f t="shared" si="377"/>
        <v>0</v>
      </c>
      <c r="Y69" s="1068">
        <f t="shared" si="377"/>
        <v>0</v>
      </c>
      <c r="Z69" s="1068">
        <f t="shared" si="377"/>
        <v>0</v>
      </c>
      <c r="AA69" s="1068">
        <f t="shared" si="377"/>
        <v>0</v>
      </c>
      <c r="AB69" s="1068">
        <f t="shared" si="377"/>
        <v>0</v>
      </c>
      <c r="AC69" s="1068">
        <f t="shared" si="377"/>
        <v>0</v>
      </c>
      <c r="AD69" s="1068">
        <f t="shared" si="377"/>
        <v>0</v>
      </c>
      <c r="AE69" s="1068">
        <f t="shared" si="377"/>
        <v>0</v>
      </c>
      <c r="AF69" s="1068">
        <f t="shared" si="377"/>
        <v>0</v>
      </c>
      <c r="AG69" s="1068">
        <f t="shared" si="377"/>
        <v>0</v>
      </c>
      <c r="AH69" s="1068">
        <f t="shared" si="377"/>
        <v>0</v>
      </c>
      <c r="AI69" s="1068">
        <f t="shared" si="377"/>
        <v>0</v>
      </c>
      <c r="AJ69" s="1068">
        <f t="shared" si="377"/>
        <v>0</v>
      </c>
      <c r="AK69" s="1068">
        <f t="shared" si="377"/>
        <v>0</v>
      </c>
      <c r="AL69" s="1068">
        <f t="shared" si="377"/>
        <v>0</v>
      </c>
      <c r="AM69" s="1068">
        <f t="shared" ref="AM69" si="378">SUM(AM70:AM73)</f>
        <v>0</v>
      </c>
      <c r="AN69" s="1068">
        <f t="shared" ref="AN69" si="379">SUM(AN70:AN73)</f>
        <v>0</v>
      </c>
      <c r="AO69" s="1068">
        <f t="shared" ref="AO69" si="380">SUM(AO70:AO73)</f>
        <v>0</v>
      </c>
      <c r="AP69" s="1068">
        <f t="shared" ref="AP69" si="381">SUM(AP70:AP73)</f>
        <v>0</v>
      </c>
      <c r="AQ69" s="1068">
        <f t="shared" ref="AQ69" si="382">SUM(AQ70:AQ73)</f>
        <v>0</v>
      </c>
      <c r="AR69" s="1068">
        <f t="shared" ref="AR69" si="383">SUM(AR70:AR73)</f>
        <v>0</v>
      </c>
      <c r="AS69" s="1068">
        <f t="shared" ref="AS69" si="384">SUM(AS70:AS73)</f>
        <v>0</v>
      </c>
      <c r="AT69" s="1068">
        <f t="shared" ref="AT69" si="385">SUM(AT70:AT73)</f>
        <v>0</v>
      </c>
      <c r="AU69" s="1068">
        <f t="shared" ref="AU69" si="386">SUM(AU70:AU73)</f>
        <v>0</v>
      </c>
      <c r="AV69" s="1068">
        <f t="shared" ref="AV69" si="387">SUM(AV70:AV73)</f>
        <v>0</v>
      </c>
      <c r="AW69" s="1068">
        <f t="shared" ref="AW69" si="388">SUM(AW70:AW73)</f>
        <v>0</v>
      </c>
      <c r="AX69" s="1068">
        <f t="shared" ref="AX69" si="389">SUM(AX70:AX73)</f>
        <v>0</v>
      </c>
      <c r="AY69" s="1068">
        <f t="shared" ref="AY69" si="390">SUM(AY70:AY73)</f>
        <v>0</v>
      </c>
      <c r="AZ69" s="1068">
        <f t="shared" ref="AZ69" si="391">SUM(AZ70:AZ73)</f>
        <v>0</v>
      </c>
      <c r="BA69" s="1068">
        <f t="shared" ref="BA69" si="392">SUM(BA70:BA73)</f>
        <v>0</v>
      </c>
      <c r="BB69" s="1068">
        <f t="shared" ref="BB69" si="393">SUM(BB70:BB73)</f>
        <v>0</v>
      </c>
      <c r="BC69" s="1068">
        <f t="shared" ref="BC69" si="394">SUM(BC70:BC73)</f>
        <v>0</v>
      </c>
      <c r="BD69" s="1068">
        <f t="shared" ref="BD69" si="395">SUM(BD70:BD73)</f>
        <v>0</v>
      </c>
      <c r="BE69" s="1068">
        <f t="shared" ref="BE69" si="396">SUM(BE70:BE73)</f>
        <v>0</v>
      </c>
      <c r="BF69" s="1068">
        <f t="shared" ref="BF69" si="397">SUM(BF70:BF73)</f>
        <v>0</v>
      </c>
      <c r="BG69" s="1068">
        <f t="shared" ref="BG69" si="398">SUM(BG70:BG73)</f>
        <v>0</v>
      </c>
      <c r="BH69" s="1068">
        <f t="shared" ref="BH69" si="399">SUM(BH70:BH73)</f>
        <v>0</v>
      </c>
      <c r="BI69" s="1069">
        <f t="shared" si="373"/>
        <v>0</v>
      </c>
      <c r="BJ69" s="1069">
        <f t="shared" si="374"/>
        <v>0</v>
      </c>
      <c r="BK69" s="1069">
        <f t="shared" si="375"/>
        <v>0</v>
      </c>
      <c r="BL69" s="1069">
        <f t="shared" si="376"/>
        <v>0</v>
      </c>
      <c r="BM69" s="1070"/>
    </row>
    <row r="70" spans="1:65" ht="27" thickTop="1" thickBot="1">
      <c r="A70" s="509"/>
      <c r="B70" s="509"/>
      <c r="C70" s="510"/>
      <c r="D70" s="510"/>
      <c r="E70" s="510"/>
      <c r="F70" s="510"/>
      <c r="G70" s="510"/>
      <c r="H70" s="1071" t="str">
        <f>+'Anexo 1 Matriz Inf Gestión-GD'!A74</f>
        <v>3202.02.01. Coordinación, concienciación de actores entorno al proceso de visión de sistemas sostenibles de conservación -SSC-</v>
      </c>
      <c r="I70" s="1072"/>
      <c r="J70" s="1072"/>
      <c r="K70" s="1072"/>
      <c r="L70" s="1072"/>
      <c r="M70" s="1072"/>
      <c r="N70" s="1072"/>
      <c r="O70" s="1072"/>
      <c r="P70" s="1072"/>
      <c r="Q70" s="1072"/>
      <c r="R70" s="1072"/>
      <c r="S70" s="1072"/>
      <c r="T70" s="1072"/>
      <c r="U70" s="1072"/>
      <c r="V70" s="1072"/>
      <c r="W70" s="1072"/>
      <c r="X70" s="1072"/>
      <c r="Y70" s="1072"/>
      <c r="Z70" s="1072"/>
      <c r="AA70" s="1072"/>
      <c r="AB70" s="1072"/>
      <c r="AC70" s="1072"/>
      <c r="AD70" s="1072"/>
      <c r="AE70" s="1072"/>
      <c r="AF70" s="1072"/>
      <c r="AG70" s="1072"/>
      <c r="AH70" s="1072"/>
      <c r="AI70" s="1072"/>
      <c r="AJ70" s="1072"/>
      <c r="AK70" s="1072"/>
      <c r="AL70" s="1072"/>
      <c r="AM70" s="1072"/>
      <c r="AN70" s="1072"/>
      <c r="AO70" s="1072"/>
      <c r="AP70" s="1072"/>
      <c r="AQ70" s="1072"/>
      <c r="AR70" s="1072"/>
      <c r="AS70" s="1072"/>
      <c r="AT70" s="1072"/>
      <c r="AU70" s="1072"/>
      <c r="AV70" s="1072"/>
      <c r="AW70" s="1072"/>
      <c r="AX70" s="1072"/>
      <c r="AY70" s="1072"/>
      <c r="AZ70" s="1072"/>
      <c r="BA70" s="1072"/>
      <c r="BB70" s="1072"/>
      <c r="BC70" s="1072"/>
      <c r="BD70" s="1072"/>
      <c r="BE70" s="1072"/>
      <c r="BF70" s="1072"/>
      <c r="BG70" s="1072"/>
      <c r="BH70" s="1072"/>
      <c r="BI70" s="1073">
        <f t="shared" si="373"/>
        <v>0</v>
      </c>
      <c r="BJ70" s="1073">
        <f t="shared" si="374"/>
        <v>0</v>
      </c>
      <c r="BK70" s="1073">
        <f t="shared" si="375"/>
        <v>0</v>
      </c>
      <c r="BL70" s="1073">
        <f t="shared" si="376"/>
        <v>0</v>
      </c>
      <c r="BM70" s="508"/>
    </row>
    <row r="71" spans="1:65" s="1093" customFormat="1" ht="28.5" thickTop="1" thickBot="1">
      <c r="A71" s="513"/>
      <c r="B71" s="514"/>
      <c r="C71" s="514"/>
      <c r="D71" s="514"/>
      <c r="E71" s="513"/>
      <c r="F71" s="513"/>
      <c r="G71" s="513"/>
      <c r="H71" s="1110" t="str">
        <f>+'Anexo 1 Matriz Inf Gestión-GD'!A75</f>
        <v>3202.02.02 Diseño conjunto de un modelo y estrategias para la implementación de SSC</v>
      </c>
      <c r="I71" s="1111"/>
      <c r="J71" s="1111"/>
      <c r="K71" s="1111"/>
      <c r="L71" s="1111"/>
      <c r="M71" s="1111"/>
      <c r="N71" s="1111"/>
      <c r="O71" s="1111"/>
      <c r="P71" s="1111"/>
      <c r="Q71" s="1111"/>
      <c r="R71" s="1111"/>
      <c r="S71" s="1111"/>
      <c r="T71" s="1111"/>
      <c r="U71" s="1111"/>
      <c r="V71" s="1111"/>
      <c r="W71" s="1111"/>
      <c r="X71" s="1111"/>
      <c r="Y71" s="1111"/>
      <c r="Z71" s="1111"/>
      <c r="AA71" s="1111"/>
      <c r="AB71" s="1111"/>
      <c r="AC71" s="1111"/>
      <c r="AD71" s="1111"/>
      <c r="AE71" s="1111"/>
      <c r="AF71" s="1111"/>
      <c r="AG71" s="1111"/>
      <c r="AH71" s="1111"/>
      <c r="AI71" s="1111"/>
      <c r="AJ71" s="1111"/>
      <c r="AK71" s="1111"/>
      <c r="AL71" s="1111"/>
      <c r="AM71" s="1111"/>
      <c r="AN71" s="1111"/>
      <c r="AO71" s="1111"/>
      <c r="AP71" s="1111"/>
      <c r="AQ71" s="1111"/>
      <c r="AR71" s="1111"/>
      <c r="AS71" s="1111"/>
      <c r="AT71" s="1111"/>
      <c r="AU71" s="1111"/>
      <c r="AV71" s="1111"/>
      <c r="AW71" s="1111"/>
      <c r="AX71" s="1111"/>
      <c r="AY71" s="1111"/>
      <c r="AZ71" s="1111"/>
      <c r="BA71" s="1111"/>
      <c r="BB71" s="1111"/>
      <c r="BC71" s="1111"/>
      <c r="BD71" s="1111"/>
      <c r="BE71" s="1111"/>
      <c r="BF71" s="1111"/>
      <c r="BG71" s="1111"/>
      <c r="BH71" s="1111"/>
      <c r="BI71" s="1092">
        <f t="shared" si="373"/>
        <v>0</v>
      </c>
      <c r="BJ71" s="1092">
        <f t="shared" si="374"/>
        <v>0</v>
      </c>
      <c r="BK71" s="1092">
        <f t="shared" si="375"/>
        <v>0</v>
      </c>
      <c r="BL71" s="1092">
        <f t="shared" si="376"/>
        <v>0</v>
      </c>
      <c r="BM71" s="1089"/>
    </row>
    <row r="72" spans="1:65" s="1093" customFormat="1" ht="27" thickTop="1" thickBot="1">
      <c r="A72" s="513"/>
      <c r="B72" s="513"/>
      <c r="C72" s="513"/>
      <c r="D72" s="513"/>
      <c r="E72" s="1100"/>
      <c r="F72" s="1100"/>
      <c r="G72" s="1101"/>
      <c r="H72" s="1090" t="str">
        <f>+'Anexo 1 Matriz Inf Gestión-GD'!A76</f>
        <v>3202.02.03. Gestión sinérgica para la promoción y creación de capacidad técnica para la implementación del manejo SSC.</v>
      </c>
      <c r="I72" s="1091"/>
      <c r="J72" s="1091"/>
      <c r="K72" s="1091"/>
      <c r="L72" s="1091"/>
      <c r="M72" s="1091"/>
      <c r="N72" s="1091"/>
      <c r="O72" s="1091"/>
      <c r="P72" s="1091"/>
      <c r="Q72" s="1091"/>
      <c r="R72" s="1091"/>
      <c r="S72" s="1091"/>
      <c r="T72" s="1091"/>
      <c r="U72" s="1091"/>
      <c r="V72" s="1091"/>
      <c r="W72" s="1091"/>
      <c r="X72" s="1091"/>
      <c r="Y72" s="1091"/>
      <c r="Z72" s="1091"/>
      <c r="AA72" s="1091"/>
      <c r="AB72" s="1091"/>
      <c r="AC72" s="1091"/>
      <c r="AD72" s="1091"/>
      <c r="AE72" s="1091"/>
      <c r="AF72" s="1091"/>
      <c r="AG72" s="1091"/>
      <c r="AH72" s="1091"/>
      <c r="AI72" s="1091"/>
      <c r="AJ72" s="1091"/>
      <c r="AK72" s="1091"/>
      <c r="AL72" s="1091"/>
      <c r="AM72" s="1091"/>
      <c r="AN72" s="1091"/>
      <c r="AO72" s="1091"/>
      <c r="AP72" s="1091"/>
      <c r="AQ72" s="1091"/>
      <c r="AR72" s="1091"/>
      <c r="AS72" s="1091"/>
      <c r="AT72" s="1091"/>
      <c r="AU72" s="1091"/>
      <c r="AV72" s="1091"/>
      <c r="AW72" s="1091"/>
      <c r="AX72" s="1091"/>
      <c r="AY72" s="1091"/>
      <c r="AZ72" s="1091"/>
      <c r="BA72" s="1091"/>
      <c r="BB72" s="1091"/>
      <c r="BC72" s="1091"/>
      <c r="BD72" s="1091"/>
      <c r="BE72" s="1091"/>
      <c r="BF72" s="1091"/>
      <c r="BG72" s="1091"/>
      <c r="BH72" s="1091"/>
      <c r="BI72" s="1092">
        <f t="shared" si="373"/>
        <v>0</v>
      </c>
      <c r="BJ72" s="1092">
        <f t="shared" si="374"/>
        <v>0</v>
      </c>
      <c r="BK72" s="1092">
        <f t="shared" si="375"/>
        <v>0</v>
      </c>
      <c r="BL72" s="1092">
        <f t="shared" si="376"/>
        <v>0</v>
      </c>
      <c r="BM72" s="1089"/>
    </row>
    <row r="73" spans="1:65" ht="27" thickTop="1" thickBot="1">
      <c r="A73" s="509"/>
      <c r="B73" s="509"/>
      <c r="C73" s="511"/>
      <c r="D73" s="511"/>
      <c r="E73" s="510"/>
      <c r="F73" s="510"/>
      <c r="G73" s="509"/>
      <c r="H73" s="1071" t="str">
        <f>+'Anexo 1 Matriz Inf Gestión-GD'!A77</f>
        <v>3202.02.04 Apoyo a la implementación, seguimiento y evaluación de proyectos pilotos y/o estratégicos de SSC</v>
      </c>
      <c r="I73" s="1072"/>
      <c r="J73" s="1072"/>
      <c r="K73" s="1072"/>
      <c r="L73" s="1072"/>
      <c r="M73" s="1072"/>
      <c r="N73" s="1072"/>
      <c r="O73" s="1072"/>
      <c r="P73" s="1072"/>
      <c r="Q73" s="1072"/>
      <c r="R73" s="1072"/>
      <c r="S73" s="1072"/>
      <c r="T73" s="1072"/>
      <c r="U73" s="1072"/>
      <c r="V73" s="1072"/>
      <c r="W73" s="1072"/>
      <c r="X73" s="1072"/>
      <c r="Y73" s="1072"/>
      <c r="Z73" s="1072"/>
      <c r="AA73" s="1072"/>
      <c r="AB73" s="1072"/>
      <c r="AC73" s="1072"/>
      <c r="AD73" s="1072"/>
      <c r="AE73" s="1072"/>
      <c r="AF73" s="1072"/>
      <c r="AG73" s="1072"/>
      <c r="AH73" s="1072"/>
      <c r="AI73" s="1072"/>
      <c r="AJ73" s="1072"/>
      <c r="AK73" s="1072"/>
      <c r="AL73" s="1072"/>
      <c r="AM73" s="1072"/>
      <c r="AN73" s="1072"/>
      <c r="AO73" s="1072"/>
      <c r="AP73" s="1072"/>
      <c r="AQ73" s="1072"/>
      <c r="AR73" s="1072"/>
      <c r="AS73" s="1072"/>
      <c r="AT73" s="1072"/>
      <c r="AU73" s="1072"/>
      <c r="AV73" s="1072"/>
      <c r="AW73" s="1072"/>
      <c r="AX73" s="1072"/>
      <c r="AY73" s="1072"/>
      <c r="AZ73" s="1072"/>
      <c r="BA73" s="1072"/>
      <c r="BB73" s="1072"/>
      <c r="BC73" s="1072"/>
      <c r="BD73" s="1072"/>
      <c r="BE73" s="1072"/>
      <c r="BF73" s="1072"/>
      <c r="BG73" s="1072"/>
      <c r="BH73" s="1072"/>
      <c r="BI73" s="1073">
        <f t="shared" si="373"/>
        <v>0</v>
      </c>
      <c r="BJ73" s="1073">
        <f t="shared" si="374"/>
        <v>0</v>
      </c>
      <c r="BK73" s="1073">
        <f t="shared" si="375"/>
        <v>0</v>
      </c>
      <c r="BL73" s="1073">
        <f t="shared" si="376"/>
        <v>0</v>
      </c>
      <c r="BM73" s="508"/>
    </row>
    <row r="74" spans="1:65" ht="39.75" thickTop="1" thickBot="1">
      <c r="A74" s="1066"/>
      <c r="B74" s="1066"/>
      <c r="C74" s="1066"/>
      <c r="D74" s="1066"/>
      <c r="E74" s="1077"/>
      <c r="F74" s="1077"/>
      <c r="G74" s="1078"/>
      <c r="H74" s="1067" t="str">
        <f>+'Anexo 1 Matriz Inf Gestión-GD'!A78</f>
        <v>Proyecto 3202.03 Implementación de la estrategia de control integral en los núcleos de deforestación priorizados en el Cesar, (en coordinación institucional con el MADS).</v>
      </c>
      <c r="I74" s="1068">
        <f>SUM(I75:I82)</f>
        <v>0</v>
      </c>
      <c r="J74" s="1068">
        <f t="shared" ref="J74:AL74" si="400">SUM(J75:J82)</f>
        <v>0</v>
      </c>
      <c r="K74" s="1068">
        <f t="shared" si="400"/>
        <v>0</v>
      </c>
      <c r="L74" s="1068">
        <f t="shared" si="400"/>
        <v>0</v>
      </c>
      <c r="M74" s="1068">
        <f t="shared" si="400"/>
        <v>0</v>
      </c>
      <c r="N74" s="1068">
        <f t="shared" si="400"/>
        <v>0</v>
      </c>
      <c r="O74" s="1068">
        <f t="shared" si="400"/>
        <v>0</v>
      </c>
      <c r="P74" s="1068">
        <f t="shared" si="400"/>
        <v>0</v>
      </c>
      <c r="Q74" s="1068">
        <f t="shared" si="400"/>
        <v>0</v>
      </c>
      <c r="R74" s="1068">
        <f t="shared" si="400"/>
        <v>0</v>
      </c>
      <c r="S74" s="1068">
        <f t="shared" si="400"/>
        <v>0</v>
      </c>
      <c r="T74" s="1068">
        <f t="shared" si="400"/>
        <v>0</v>
      </c>
      <c r="U74" s="1068">
        <f t="shared" si="400"/>
        <v>0</v>
      </c>
      <c r="V74" s="1068">
        <f t="shared" si="400"/>
        <v>0</v>
      </c>
      <c r="W74" s="1068">
        <f t="shared" si="400"/>
        <v>0</v>
      </c>
      <c r="X74" s="1068">
        <f t="shared" si="400"/>
        <v>0</v>
      </c>
      <c r="Y74" s="1068">
        <f t="shared" si="400"/>
        <v>0</v>
      </c>
      <c r="Z74" s="1068">
        <f t="shared" si="400"/>
        <v>0</v>
      </c>
      <c r="AA74" s="1068">
        <f t="shared" si="400"/>
        <v>0</v>
      </c>
      <c r="AB74" s="1068">
        <f t="shared" si="400"/>
        <v>0</v>
      </c>
      <c r="AC74" s="1068">
        <f t="shared" si="400"/>
        <v>0</v>
      </c>
      <c r="AD74" s="1068">
        <f t="shared" si="400"/>
        <v>0</v>
      </c>
      <c r="AE74" s="1068">
        <f t="shared" si="400"/>
        <v>0</v>
      </c>
      <c r="AF74" s="1068">
        <f t="shared" si="400"/>
        <v>0</v>
      </c>
      <c r="AG74" s="1068">
        <f t="shared" si="400"/>
        <v>0</v>
      </c>
      <c r="AH74" s="1068">
        <f t="shared" si="400"/>
        <v>0</v>
      </c>
      <c r="AI74" s="1068">
        <f t="shared" si="400"/>
        <v>0</v>
      </c>
      <c r="AJ74" s="1068">
        <f t="shared" si="400"/>
        <v>0</v>
      </c>
      <c r="AK74" s="1068">
        <f t="shared" si="400"/>
        <v>0</v>
      </c>
      <c r="AL74" s="1068">
        <f t="shared" si="400"/>
        <v>0</v>
      </c>
      <c r="AM74" s="1068">
        <f t="shared" ref="AM74" si="401">SUM(AM75:AM82)</f>
        <v>0</v>
      </c>
      <c r="AN74" s="1068">
        <f t="shared" ref="AN74" si="402">SUM(AN75:AN82)</f>
        <v>0</v>
      </c>
      <c r="AO74" s="1068">
        <f t="shared" ref="AO74" si="403">SUM(AO75:AO82)</f>
        <v>0</v>
      </c>
      <c r="AP74" s="1068">
        <f t="shared" ref="AP74" si="404">SUM(AP75:AP82)</f>
        <v>0</v>
      </c>
      <c r="AQ74" s="1068">
        <f t="shared" ref="AQ74" si="405">SUM(AQ75:AQ82)</f>
        <v>0</v>
      </c>
      <c r="AR74" s="1068">
        <f t="shared" ref="AR74" si="406">SUM(AR75:AR82)</f>
        <v>0</v>
      </c>
      <c r="AS74" s="1068">
        <f t="shared" ref="AS74" si="407">SUM(AS75:AS82)</f>
        <v>0</v>
      </c>
      <c r="AT74" s="1068">
        <f t="shared" ref="AT74" si="408">SUM(AT75:AT82)</f>
        <v>0</v>
      </c>
      <c r="AU74" s="1068">
        <f t="shared" ref="AU74" si="409">SUM(AU75:AU82)</f>
        <v>0</v>
      </c>
      <c r="AV74" s="1068">
        <f t="shared" ref="AV74" si="410">SUM(AV75:AV82)</f>
        <v>0</v>
      </c>
      <c r="AW74" s="1068">
        <f t="shared" ref="AW74" si="411">SUM(AW75:AW82)</f>
        <v>0</v>
      </c>
      <c r="AX74" s="1068">
        <f t="shared" ref="AX74" si="412">SUM(AX75:AX82)</f>
        <v>0</v>
      </c>
      <c r="AY74" s="1068">
        <f t="shared" ref="AY74" si="413">SUM(AY75:AY82)</f>
        <v>0</v>
      </c>
      <c r="AZ74" s="1068">
        <f t="shared" ref="AZ74" si="414">SUM(AZ75:AZ82)</f>
        <v>0</v>
      </c>
      <c r="BA74" s="1068">
        <f t="shared" ref="BA74" si="415">SUM(BA75:BA82)</f>
        <v>0</v>
      </c>
      <c r="BB74" s="1068">
        <f t="shared" ref="BB74" si="416">SUM(BB75:BB82)</f>
        <v>0</v>
      </c>
      <c r="BC74" s="1068">
        <f t="shared" ref="BC74" si="417">SUM(BC75:BC82)</f>
        <v>0</v>
      </c>
      <c r="BD74" s="1068">
        <f t="shared" ref="BD74" si="418">SUM(BD75:BD82)</f>
        <v>0</v>
      </c>
      <c r="BE74" s="1068">
        <f t="shared" ref="BE74" si="419">SUM(BE75:BE82)</f>
        <v>0</v>
      </c>
      <c r="BF74" s="1068">
        <f t="shared" ref="BF74" si="420">SUM(BF75:BF82)</f>
        <v>0</v>
      </c>
      <c r="BG74" s="1068">
        <f t="shared" ref="BG74" si="421">SUM(BG75:BG82)</f>
        <v>0</v>
      </c>
      <c r="BH74" s="1068">
        <f t="shared" ref="BH74" si="422">SUM(BH75:BH82)</f>
        <v>0</v>
      </c>
      <c r="BI74" s="1069">
        <f t="shared" si="373"/>
        <v>0</v>
      </c>
      <c r="BJ74" s="1069">
        <f t="shared" si="374"/>
        <v>0</v>
      </c>
      <c r="BK74" s="1069">
        <f t="shared" si="375"/>
        <v>0</v>
      </c>
      <c r="BL74" s="1069">
        <f t="shared" si="376"/>
        <v>0</v>
      </c>
      <c r="BM74" s="1070"/>
    </row>
    <row r="75" spans="1:65" ht="27" thickTop="1" thickBot="1">
      <c r="A75" s="509"/>
      <c r="B75" s="509"/>
      <c r="C75" s="511"/>
      <c r="D75" s="511"/>
      <c r="E75" s="510"/>
      <c r="F75" s="510"/>
      <c r="G75" s="509"/>
      <c r="H75" s="1071" t="str">
        <f>+'Anexo 1 Matriz Inf Gestión-GD'!A79</f>
        <v>3202.03.01. Apoyo al IDEAM en monitoreo y seguimiento a los agentes y causas de deforestación</v>
      </c>
      <c r="I75" s="1072"/>
      <c r="J75" s="1072"/>
      <c r="K75" s="1072"/>
      <c r="L75" s="1072"/>
      <c r="M75" s="1072"/>
      <c r="N75" s="1072"/>
      <c r="O75" s="1072"/>
      <c r="P75" s="1072"/>
      <c r="Q75" s="1072"/>
      <c r="R75" s="1072"/>
      <c r="S75" s="1072"/>
      <c r="T75" s="1072"/>
      <c r="U75" s="1072"/>
      <c r="V75" s="1072"/>
      <c r="W75" s="1072"/>
      <c r="X75" s="1072"/>
      <c r="Y75" s="1072"/>
      <c r="Z75" s="1072"/>
      <c r="AA75" s="1072"/>
      <c r="AB75" s="1072"/>
      <c r="AC75" s="1072"/>
      <c r="AD75" s="1072"/>
      <c r="AE75" s="1072"/>
      <c r="AF75" s="1072"/>
      <c r="AG75" s="1072"/>
      <c r="AH75" s="1072"/>
      <c r="AI75" s="1072"/>
      <c r="AJ75" s="1072"/>
      <c r="AK75" s="1072"/>
      <c r="AL75" s="1072"/>
      <c r="AM75" s="1072"/>
      <c r="AN75" s="1072"/>
      <c r="AO75" s="1072"/>
      <c r="AP75" s="1072"/>
      <c r="AQ75" s="1072"/>
      <c r="AR75" s="1072"/>
      <c r="AS75" s="1072"/>
      <c r="AT75" s="1072"/>
      <c r="AU75" s="1072"/>
      <c r="AV75" s="1072"/>
      <c r="AW75" s="1072"/>
      <c r="AX75" s="1072"/>
      <c r="AY75" s="1072"/>
      <c r="AZ75" s="1072"/>
      <c r="BA75" s="1072"/>
      <c r="BB75" s="1072"/>
      <c r="BC75" s="1072"/>
      <c r="BD75" s="1072"/>
      <c r="BE75" s="1072"/>
      <c r="BF75" s="1072"/>
      <c r="BG75" s="1072"/>
      <c r="BH75" s="1072"/>
      <c r="BI75" s="1073">
        <f t="shared" si="373"/>
        <v>0</v>
      </c>
      <c r="BJ75" s="1073">
        <f t="shared" si="374"/>
        <v>0</v>
      </c>
      <c r="BK75" s="1073">
        <f t="shared" si="375"/>
        <v>0</v>
      </c>
      <c r="BL75" s="1073">
        <f t="shared" si="376"/>
        <v>0</v>
      </c>
      <c r="BM75" s="508"/>
    </row>
    <row r="76" spans="1:65" ht="16.5" thickTop="1" thickBot="1">
      <c r="A76" s="509"/>
      <c r="B76" s="509"/>
      <c r="C76" s="511"/>
      <c r="D76" s="511"/>
      <c r="E76" s="510"/>
      <c r="F76" s="510"/>
      <c r="G76" s="509"/>
      <c r="H76" s="1071" t="str">
        <f>+'Anexo 1 Matriz Inf Gestión-GD'!A80</f>
        <v>3202.03.03.(A) Desarrollo de acciones de prevención de la deforestación</v>
      </c>
      <c r="I76" s="1072"/>
      <c r="J76" s="1072"/>
      <c r="K76" s="1072"/>
      <c r="L76" s="1072"/>
      <c r="M76" s="1072"/>
      <c r="N76" s="1072"/>
      <c r="O76" s="1072"/>
      <c r="P76" s="1072"/>
      <c r="Q76" s="1072"/>
      <c r="R76" s="1072"/>
      <c r="S76" s="1072"/>
      <c r="T76" s="1072"/>
      <c r="U76" s="1072"/>
      <c r="V76" s="1072"/>
      <c r="W76" s="1072"/>
      <c r="X76" s="1072"/>
      <c r="Y76" s="1072"/>
      <c r="Z76" s="1072"/>
      <c r="AA76" s="1072"/>
      <c r="AB76" s="1072"/>
      <c r="AC76" s="1072"/>
      <c r="AD76" s="1072"/>
      <c r="AE76" s="1072"/>
      <c r="AF76" s="1072"/>
      <c r="AG76" s="1072"/>
      <c r="AH76" s="1072"/>
      <c r="AI76" s="1072"/>
      <c r="AJ76" s="1072"/>
      <c r="AK76" s="1072"/>
      <c r="AL76" s="1072"/>
      <c r="AM76" s="1072"/>
      <c r="AN76" s="1072"/>
      <c r="AO76" s="1072"/>
      <c r="AP76" s="1072"/>
      <c r="AQ76" s="1072"/>
      <c r="AR76" s="1072"/>
      <c r="AS76" s="1072"/>
      <c r="AT76" s="1072"/>
      <c r="AU76" s="1072"/>
      <c r="AV76" s="1072"/>
      <c r="AW76" s="1072"/>
      <c r="AX76" s="1072"/>
      <c r="AY76" s="1072"/>
      <c r="AZ76" s="1072"/>
      <c r="BA76" s="1072"/>
      <c r="BB76" s="1072"/>
      <c r="BC76" s="1072"/>
      <c r="BD76" s="1072"/>
      <c r="BE76" s="1072"/>
      <c r="BF76" s="1072"/>
      <c r="BG76" s="1072"/>
      <c r="BH76" s="1072"/>
      <c r="BI76" s="1073">
        <f t="shared" si="373"/>
        <v>0</v>
      </c>
      <c r="BJ76" s="1073">
        <f t="shared" si="374"/>
        <v>0</v>
      </c>
      <c r="BK76" s="1073">
        <f t="shared" si="375"/>
        <v>0</v>
      </c>
      <c r="BL76" s="1073">
        <f t="shared" si="376"/>
        <v>0</v>
      </c>
      <c r="BM76" s="508"/>
    </row>
    <row r="77" spans="1:65" ht="16.5" thickTop="1" thickBot="1">
      <c r="A77" s="509"/>
      <c r="B77" s="509"/>
      <c r="C77" s="511"/>
      <c r="D77" s="511"/>
      <c r="E77" s="510"/>
      <c r="F77" s="510"/>
      <c r="G77" s="509"/>
      <c r="H77" s="1071" t="str">
        <f>+'Anexo 1 Matriz Inf Gestión-GD'!A81</f>
        <v>3202.03.03.(B) Desarrollo de acciones de control  a la deforestación</v>
      </c>
      <c r="I77" s="1072"/>
      <c r="J77" s="1072"/>
      <c r="K77" s="1072"/>
      <c r="L77" s="1072"/>
      <c r="M77" s="1072"/>
      <c r="N77" s="1072"/>
      <c r="O77" s="1072"/>
      <c r="P77" s="1072"/>
      <c r="Q77" s="1072"/>
      <c r="R77" s="1072"/>
      <c r="S77" s="1072"/>
      <c r="T77" s="1072"/>
      <c r="U77" s="1072"/>
      <c r="V77" s="1072"/>
      <c r="W77" s="1072"/>
      <c r="X77" s="1072"/>
      <c r="Y77" s="1072"/>
      <c r="Z77" s="1072"/>
      <c r="AA77" s="1072"/>
      <c r="AB77" s="1072"/>
      <c r="AC77" s="1072"/>
      <c r="AD77" s="1072"/>
      <c r="AE77" s="1072"/>
      <c r="AF77" s="1072"/>
      <c r="AG77" s="1072"/>
      <c r="AH77" s="1072"/>
      <c r="AI77" s="1072"/>
      <c r="AJ77" s="1072"/>
      <c r="AK77" s="1072"/>
      <c r="AL77" s="1072"/>
      <c r="AM77" s="1072"/>
      <c r="AN77" s="1072"/>
      <c r="AO77" s="1072"/>
      <c r="AP77" s="1072"/>
      <c r="AQ77" s="1072"/>
      <c r="AR77" s="1072"/>
      <c r="AS77" s="1072"/>
      <c r="AT77" s="1072"/>
      <c r="AU77" s="1072"/>
      <c r="AV77" s="1072"/>
      <c r="AW77" s="1072"/>
      <c r="AX77" s="1072"/>
      <c r="AY77" s="1072"/>
      <c r="AZ77" s="1072"/>
      <c r="BA77" s="1072"/>
      <c r="BB77" s="1072"/>
      <c r="BC77" s="1072"/>
      <c r="BD77" s="1072"/>
      <c r="BE77" s="1072"/>
      <c r="BF77" s="1072"/>
      <c r="BG77" s="1072"/>
      <c r="BH77" s="1072"/>
      <c r="BI77" s="1073">
        <f t="shared" si="373"/>
        <v>0</v>
      </c>
      <c r="BJ77" s="1073">
        <f t="shared" si="374"/>
        <v>0</v>
      </c>
      <c r="BK77" s="1073">
        <f t="shared" si="375"/>
        <v>0</v>
      </c>
      <c r="BL77" s="1073">
        <f t="shared" si="376"/>
        <v>0</v>
      </c>
      <c r="BM77" s="508"/>
    </row>
    <row r="78" spans="1:65" ht="27" thickTop="1" thickBot="1">
      <c r="A78" s="509"/>
      <c r="B78" s="509"/>
      <c r="C78" s="511"/>
      <c r="D78" s="511"/>
      <c r="E78" s="510"/>
      <c r="F78" s="510"/>
      <c r="G78" s="509"/>
      <c r="H78" s="1071" t="str">
        <f>+'Anexo 1 Matriz Inf Gestión-GD'!A82</f>
        <v>3202.03.02(A)  Formulación conjunta con el MADS, de portafolio de proyectos en núcleos activos de deforestación, y gestión e implementación.</v>
      </c>
      <c r="I78" s="1072"/>
      <c r="J78" s="1072"/>
      <c r="K78" s="1072"/>
      <c r="L78" s="1072"/>
      <c r="M78" s="1072"/>
      <c r="N78" s="1072"/>
      <c r="O78" s="1072"/>
      <c r="P78" s="1072"/>
      <c r="Q78" s="1072"/>
      <c r="R78" s="1072"/>
      <c r="S78" s="1072"/>
      <c r="T78" s="1072"/>
      <c r="U78" s="1072"/>
      <c r="V78" s="1072"/>
      <c r="W78" s="1072"/>
      <c r="X78" s="1072"/>
      <c r="Y78" s="1072"/>
      <c r="Z78" s="1072"/>
      <c r="AA78" s="1072"/>
      <c r="AB78" s="1072"/>
      <c r="AC78" s="1072"/>
      <c r="AD78" s="1072"/>
      <c r="AE78" s="1072"/>
      <c r="AF78" s="1072"/>
      <c r="AG78" s="1072"/>
      <c r="AH78" s="1072"/>
      <c r="AI78" s="1072"/>
      <c r="AJ78" s="1072"/>
      <c r="AK78" s="1072"/>
      <c r="AL78" s="1072"/>
      <c r="AM78" s="1072"/>
      <c r="AN78" s="1072"/>
      <c r="AO78" s="1072"/>
      <c r="AP78" s="1072"/>
      <c r="AQ78" s="1072"/>
      <c r="AR78" s="1072"/>
      <c r="AS78" s="1072"/>
      <c r="AT78" s="1072"/>
      <c r="AU78" s="1072"/>
      <c r="AV78" s="1072"/>
      <c r="AW78" s="1072"/>
      <c r="AX78" s="1072"/>
      <c r="AY78" s="1072"/>
      <c r="AZ78" s="1072"/>
      <c r="BA78" s="1072"/>
      <c r="BB78" s="1072"/>
      <c r="BC78" s="1072"/>
      <c r="BD78" s="1072"/>
      <c r="BE78" s="1072"/>
      <c r="BF78" s="1072"/>
      <c r="BG78" s="1072"/>
      <c r="BH78" s="1072"/>
      <c r="BI78" s="1073">
        <f t="shared" si="373"/>
        <v>0</v>
      </c>
      <c r="BJ78" s="1073">
        <f t="shared" si="374"/>
        <v>0</v>
      </c>
      <c r="BK78" s="1073">
        <f t="shared" si="375"/>
        <v>0</v>
      </c>
      <c r="BL78" s="1073">
        <f t="shared" si="376"/>
        <v>0</v>
      </c>
      <c r="BM78" s="508"/>
    </row>
    <row r="79" spans="1:65" s="1093" customFormat="1" ht="27" thickTop="1" thickBot="1">
      <c r="A79" s="513"/>
      <c r="B79" s="513"/>
      <c r="C79" s="513"/>
      <c r="D79" s="513"/>
      <c r="E79" s="1100"/>
      <c r="F79" s="1100"/>
      <c r="G79" s="1101"/>
      <c r="H79" s="1090" t="str">
        <f>+'Anexo 1 Matriz Inf Gestión-GD'!A83</f>
        <v>3202.03.02 (B)  Formulación conjunta con el MADS, de portafolio de proyectos en núcleos activos de deforestación, y gestión e implementación.</v>
      </c>
      <c r="I79" s="1091"/>
      <c r="J79" s="1091"/>
      <c r="K79" s="1091"/>
      <c r="L79" s="1091"/>
      <c r="M79" s="1091"/>
      <c r="N79" s="1091"/>
      <c r="O79" s="1091"/>
      <c r="P79" s="1091"/>
      <c r="Q79" s="1091"/>
      <c r="R79" s="1091"/>
      <c r="S79" s="1091"/>
      <c r="T79" s="1091"/>
      <c r="U79" s="1091"/>
      <c r="V79" s="1091"/>
      <c r="W79" s="1091"/>
      <c r="X79" s="1091"/>
      <c r="Y79" s="1091"/>
      <c r="Z79" s="1091"/>
      <c r="AA79" s="1091"/>
      <c r="AB79" s="1091"/>
      <c r="AC79" s="1091"/>
      <c r="AD79" s="1091"/>
      <c r="AE79" s="1091"/>
      <c r="AF79" s="1091"/>
      <c r="AG79" s="1091"/>
      <c r="AH79" s="1091"/>
      <c r="AI79" s="1091"/>
      <c r="AJ79" s="1091"/>
      <c r="AK79" s="1091"/>
      <c r="AL79" s="1091"/>
      <c r="AM79" s="1091"/>
      <c r="AN79" s="1091"/>
      <c r="AO79" s="1091"/>
      <c r="AP79" s="1091"/>
      <c r="AQ79" s="1091"/>
      <c r="AR79" s="1091"/>
      <c r="AS79" s="1091"/>
      <c r="AT79" s="1091"/>
      <c r="AU79" s="1091"/>
      <c r="AV79" s="1091"/>
      <c r="AW79" s="1091"/>
      <c r="AX79" s="1091"/>
      <c r="AY79" s="1091"/>
      <c r="AZ79" s="1091"/>
      <c r="BA79" s="1091"/>
      <c r="BB79" s="1091"/>
      <c r="BC79" s="1091"/>
      <c r="BD79" s="1091"/>
      <c r="BE79" s="1091"/>
      <c r="BF79" s="1091"/>
      <c r="BG79" s="1091"/>
      <c r="BH79" s="1091"/>
      <c r="BI79" s="1092">
        <f t="shared" si="373"/>
        <v>0</v>
      </c>
      <c r="BJ79" s="1092">
        <f t="shared" si="374"/>
        <v>0</v>
      </c>
      <c r="BK79" s="1092">
        <f t="shared" si="375"/>
        <v>0</v>
      </c>
      <c r="BL79" s="1092">
        <f t="shared" si="376"/>
        <v>0</v>
      </c>
      <c r="BM79" s="1089"/>
    </row>
    <row r="80" spans="1:65" ht="27" thickTop="1" thickBot="1">
      <c r="A80" s="509"/>
      <c r="B80" s="509"/>
      <c r="C80" s="511"/>
      <c r="D80" s="511"/>
      <c r="E80" s="510"/>
      <c r="F80" s="510"/>
      <c r="G80" s="509"/>
      <c r="H80" s="1071" t="str">
        <f>+'Anexo 1 Matriz Inf Gestión-GD'!A84</f>
        <v>3202.03.04. Ajuste e Implementación de acciones prioritarias del POF del Cesar (armonía con actividad 5.2.2 y 5.2.5)</v>
      </c>
      <c r="I80" s="1072"/>
      <c r="J80" s="1072"/>
      <c r="K80" s="1072"/>
      <c r="L80" s="1072"/>
      <c r="M80" s="1072"/>
      <c r="N80" s="1072"/>
      <c r="O80" s="1072"/>
      <c r="P80" s="1072"/>
      <c r="Q80" s="1072"/>
      <c r="R80" s="1072"/>
      <c r="S80" s="1072"/>
      <c r="T80" s="1072"/>
      <c r="U80" s="1072"/>
      <c r="V80" s="1072"/>
      <c r="W80" s="1072"/>
      <c r="X80" s="1072"/>
      <c r="Y80" s="1072"/>
      <c r="Z80" s="1072"/>
      <c r="AA80" s="1072"/>
      <c r="AB80" s="1072"/>
      <c r="AC80" s="1072"/>
      <c r="AD80" s="1072"/>
      <c r="AE80" s="1072"/>
      <c r="AF80" s="1072"/>
      <c r="AG80" s="1072"/>
      <c r="AH80" s="1072"/>
      <c r="AI80" s="1072"/>
      <c r="AJ80" s="1072"/>
      <c r="AK80" s="1072"/>
      <c r="AL80" s="1072"/>
      <c r="AM80" s="1072"/>
      <c r="AN80" s="1072"/>
      <c r="AO80" s="1072"/>
      <c r="AP80" s="1072"/>
      <c r="AQ80" s="1072"/>
      <c r="AR80" s="1072"/>
      <c r="AS80" s="1072"/>
      <c r="AT80" s="1072"/>
      <c r="AU80" s="1072"/>
      <c r="AV80" s="1072"/>
      <c r="AW80" s="1072"/>
      <c r="AX80" s="1072"/>
      <c r="AY80" s="1072"/>
      <c r="AZ80" s="1072"/>
      <c r="BA80" s="1072"/>
      <c r="BB80" s="1072"/>
      <c r="BC80" s="1072"/>
      <c r="BD80" s="1072"/>
      <c r="BE80" s="1072"/>
      <c r="BF80" s="1072"/>
      <c r="BG80" s="1072"/>
      <c r="BH80" s="1072"/>
      <c r="BI80" s="1073">
        <f t="shared" si="373"/>
        <v>0</v>
      </c>
      <c r="BJ80" s="1073">
        <f t="shared" si="374"/>
        <v>0</v>
      </c>
      <c r="BK80" s="1073">
        <f t="shared" si="375"/>
        <v>0</v>
      </c>
      <c r="BL80" s="1073">
        <f t="shared" si="376"/>
        <v>0</v>
      </c>
      <c r="BM80" s="508"/>
    </row>
    <row r="81" spans="1:65" ht="27" thickTop="1" thickBot="1">
      <c r="A81" s="509"/>
      <c r="B81" s="509"/>
      <c r="C81" s="511"/>
      <c r="D81" s="511"/>
      <c r="E81" s="510"/>
      <c r="F81" s="510"/>
      <c r="G81" s="509"/>
      <c r="H81" s="1071" t="str">
        <f>+'Anexo 1 Matriz Inf Gestión-GD'!A85</f>
        <v>3202.03.05 Establecer proyectos para uso y aprovechamiento forestal comunitarios del bosque que permitan su uso sostenible</v>
      </c>
      <c r="I81" s="1072"/>
      <c r="J81" s="1072"/>
      <c r="K81" s="1072"/>
      <c r="L81" s="1072"/>
      <c r="M81" s="1072"/>
      <c r="N81" s="1072"/>
      <c r="O81" s="1072"/>
      <c r="P81" s="1072"/>
      <c r="Q81" s="1072"/>
      <c r="R81" s="1072"/>
      <c r="S81" s="1072"/>
      <c r="T81" s="1072"/>
      <c r="U81" s="1072"/>
      <c r="V81" s="1072"/>
      <c r="W81" s="1072"/>
      <c r="X81" s="1072"/>
      <c r="Y81" s="1072"/>
      <c r="Z81" s="1072"/>
      <c r="AA81" s="1072"/>
      <c r="AB81" s="1072"/>
      <c r="AC81" s="1072"/>
      <c r="AD81" s="1072"/>
      <c r="AE81" s="1072"/>
      <c r="AF81" s="1072"/>
      <c r="AG81" s="1072"/>
      <c r="AH81" s="1072"/>
      <c r="AI81" s="1072"/>
      <c r="AJ81" s="1072"/>
      <c r="AK81" s="1072"/>
      <c r="AL81" s="1072"/>
      <c r="AM81" s="1072"/>
      <c r="AN81" s="1072"/>
      <c r="AO81" s="1072"/>
      <c r="AP81" s="1072"/>
      <c r="AQ81" s="1072"/>
      <c r="AR81" s="1072"/>
      <c r="AS81" s="1072"/>
      <c r="AT81" s="1072"/>
      <c r="AU81" s="1072"/>
      <c r="AV81" s="1072"/>
      <c r="AW81" s="1072"/>
      <c r="AX81" s="1072"/>
      <c r="AY81" s="1072"/>
      <c r="AZ81" s="1072"/>
      <c r="BA81" s="1072"/>
      <c r="BB81" s="1072"/>
      <c r="BC81" s="1072"/>
      <c r="BD81" s="1072"/>
      <c r="BE81" s="1072"/>
      <c r="BF81" s="1072"/>
      <c r="BG81" s="1072"/>
      <c r="BH81" s="1072"/>
      <c r="BI81" s="1073">
        <f t="shared" si="373"/>
        <v>0</v>
      </c>
      <c r="BJ81" s="1073">
        <f t="shared" si="374"/>
        <v>0</v>
      </c>
      <c r="BK81" s="1073">
        <f t="shared" si="375"/>
        <v>0</v>
      </c>
      <c r="BL81" s="1073">
        <f t="shared" si="376"/>
        <v>0</v>
      </c>
      <c r="BM81" s="508"/>
    </row>
    <row r="82" spans="1:65" ht="27" thickTop="1" thickBot="1">
      <c r="A82" s="509"/>
      <c r="B82" s="509"/>
      <c r="C82" s="511"/>
      <c r="D82" s="511"/>
      <c r="E82" s="510"/>
      <c r="F82" s="510"/>
      <c r="G82" s="509"/>
      <c r="H82" s="1071" t="str">
        <f>+'Anexo 1 Matriz Inf Gestión-GD'!A86</f>
        <v>3202.03.06. Promoción y fortalecimiento de espacios de participación como plataforma de articulación para la promoción de la cultura forestal y reducción de la deforestación</v>
      </c>
      <c r="I82" s="1072"/>
      <c r="J82" s="1072"/>
      <c r="K82" s="1072"/>
      <c r="L82" s="1072"/>
      <c r="M82" s="1072"/>
      <c r="N82" s="1072"/>
      <c r="O82" s="1072"/>
      <c r="P82" s="1072"/>
      <c r="Q82" s="1072"/>
      <c r="R82" s="1072"/>
      <c r="S82" s="1072"/>
      <c r="T82" s="1072"/>
      <c r="U82" s="1072"/>
      <c r="V82" s="1072"/>
      <c r="W82" s="1072"/>
      <c r="X82" s="1072"/>
      <c r="Y82" s="1072"/>
      <c r="Z82" s="1072"/>
      <c r="AA82" s="1072"/>
      <c r="AB82" s="1072"/>
      <c r="AC82" s="1072"/>
      <c r="AD82" s="1072"/>
      <c r="AE82" s="1072"/>
      <c r="AF82" s="1072"/>
      <c r="AG82" s="1072"/>
      <c r="AH82" s="1072"/>
      <c r="AI82" s="1072"/>
      <c r="AJ82" s="1072"/>
      <c r="AK82" s="1072"/>
      <c r="AL82" s="1072"/>
      <c r="AM82" s="1072"/>
      <c r="AN82" s="1072"/>
      <c r="AO82" s="1072"/>
      <c r="AP82" s="1072"/>
      <c r="AQ82" s="1072"/>
      <c r="AR82" s="1072"/>
      <c r="AS82" s="1072"/>
      <c r="AT82" s="1072"/>
      <c r="AU82" s="1072"/>
      <c r="AV82" s="1072"/>
      <c r="AW82" s="1072"/>
      <c r="AX82" s="1072"/>
      <c r="AY82" s="1072"/>
      <c r="AZ82" s="1072"/>
      <c r="BA82" s="1072"/>
      <c r="BB82" s="1072"/>
      <c r="BC82" s="1072"/>
      <c r="BD82" s="1072"/>
      <c r="BE82" s="1072"/>
      <c r="BF82" s="1072"/>
      <c r="BG82" s="1072"/>
      <c r="BH82" s="1072"/>
      <c r="BI82" s="1073">
        <f t="shared" si="373"/>
        <v>0</v>
      </c>
      <c r="BJ82" s="1073">
        <f t="shared" si="374"/>
        <v>0</v>
      </c>
      <c r="BK82" s="1073">
        <f t="shared" si="375"/>
        <v>0</v>
      </c>
      <c r="BL82" s="1073">
        <f t="shared" si="376"/>
        <v>0</v>
      </c>
      <c r="BM82" s="508"/>
    </row>
    <row r="83" spans="1:65" ht="27" thickTop="1" thickBot="1">
      <c r="A83" s="1066"/>
      <c r="B83" s="1066"/>
      <c r="C83" s="1066"/>
      <c r="D83" s="1066"/>
      <c r="E83" s="1077"/>
      <c r="F83" s="1077"/>
      <c r="G83" s="1078"/>
      <c r="H83" s="1067" t="str">
        <f>+'Anexo 1 Matriz Inf Gestión-GD'!A87</f>
        <v>Proyecto 3202.04 Fortalecimiento de gobernanza forestal en la jurisdicción de Corpocesar</v>
      </c>
      <c r="I83" s="1068">
        <f>SUM(I84:I87)</f>
        <v>0</v>
      </c>
      <c r="J83" s="1068">
        <f t="shared" ref="J83:AL83" si="423">SUM(J84:J87)</f>
        <v>0</v>
      </c>
      <c r="K83" s="1068">
        <f t="shared" si="423"/>
        <v>0</v>
      </c>
      <c r="L83" s="1068">
        <f t="shared" si="423"/>
        <v>0</v>
      </c>
      <c r="M83" s="1068">
        <f t="shared" si="423"/>
        <v>0</v>
      </c>
      <c r="N83" s="1068">
        <f t="shared" si="423"/>
        <v>0</v>
      </c>
      <c r="O83" s="1068">
        <f t="shared" si="423"/>
        <v>0</v>
      </c>
      <c r="P83" s="1068">
        <f t="shared" si="423"/>
        <v>0</v>
      </c>
      <c r="Q83" s="1068">
        <f t="shared" si="423"/>
        <v>0</v>
      </c>
      <c r="R83" s="1068">
        <f t="shared" si="423"/>
        <v>0</v>
      </c>
      <c r="S83" s="1068">
        <f t="shared" si="423"/>
        <v>0</v>
      </c>
      <c r="T83" s="1068">
        <f t="shared" si="423"/>
        <v>0</v>
      </c>
      <c r="U83" s="1068">
        <f t="shared" si="423"/>
        <v>0</v>
      </c>
      <c r="V83" s="1068">
        <f t="shared" si="423"/>
        <v>0</v>
      </c>
      <c r="W83" s="1068">
        <f t="shared" si="423"/>
        <v>0</v>
      </c>
      <c r="X83" s="1068">
        <f t="shared" si="423"/>
        <v>0</v>
      </c>
      <c r="Y83" s="1068">
        <f t="shared" si="423"/>
        <v>0</v>
      </c>
      <c r="Z83" s="1068">
        <f t="shared" si="423"/>
        <v>0</v>
      </c>
      <c r="AA83" s="1068">
        <f t="shared" si="423"/>
        <v>0</v>
      </c>
      <c r="AB83" s="1068">
        <f t="shared" si="423"/>
        <v>0</v>
      </c>
      <c r="AC83" s="1068">
        <f t="shared" si="423"/>
        <v>0</v>
      </c>
      <c r="AD83" s="1068">
        <f t="shared" si="423"/>
        <v>0</v>
      </c>
      <c r="AE83" s="1068">
        <f t="shared" si="423"/>
        <v>0</v>
      </c>
      <c r="AF83" s="1068">
        <f t="shared" si="423"/>
        <v>0</v>
      </c>
      <c r="AG83" s="1068">
        <f t="shared" si="423"/>
        <v>0</v>
      </c>
      <c r="AH83" s="1068">
        <f t="shared" si="423"/>
        <v>0</v>
      </c>
      <c r="AI83" s="1068">
        <f t="shared" si="423"/>
        <v>0</v>
      </c>
      <c r="AJ83" s="1068">
        <f t="shared" si="423"/>
        <v>0</v>
      </c>
      <c r="AK83" s="1068">
        <f t="shared" si="423"/>
        <v>0</v>
      </c>
      <c r="AL83" s="1068">
        <f t="shared" si="423"/>
        <v>0</v>
      </c>
      <c r="AM83" s="1068">
        <f t="shared" ref="AM83" si="424">SUM(AM84:AM87)</f>
        <v>0</v>
      </c>
      <c r="AN83" s="1068">
        <f t="shared" ref="AN83" si="425">SUM(AN84:AN87)</f>
        <v>0</v>
      </c>
      <c r="AO83" s="1068">
        <f t="shared" ref="AO83" si="426">SUM(AO84:AO87)</f>
        <v>0</v>
      </c>
      <c r="AP83" s="1068">
        <f t="shared" ref="AP83" si="427">SUM(AP84:AP87)</f>
        <v>0</v>
      </c>
      <c r="AQ83" s="1068">
        <f t="shared" ref="AQ83" si="428">SUM(AQ84:AQ87)</f>
        <v>0</v>
      </c>
      <c r="AR83" s="1068">
        <f t="shared" ref="AR83" si="429">SUM(AR84:AR87)</f>
        <v>0</v>
      </c>
      <c r="AS83" s="1068">
        <f t="shared" ref="AS83" si="430">SUM(AS84:AS87)</f>
        <v>0</v>
      </c>
      <c r="AT83" s="1068">
        <f t="shared" ref="AT83" si="431">SUM(AT84:AT87)</f>
        <v>0</v>
      </c>
      <c r="AU83" s="1068">
        <f t="shared" ref="AU83" si="432">SUM(AU84:AU87)</f>
        <v>0</v>
      </c>
      <c r="AV83" s="1068">
        <f t="shared" ref="AV83" si="433">SUM(AV84:AV87)</f>
        <v>0</v>
      </c>
      <c r="AW83" s="1068">
        <f t="shared" ref="AW83" si="434">SUM(AW84:AW87)</f>
        <v>0</v>
      </c>
      <c r="AX83" s="1068">
        <f t="shared" ref="AX83" si="435">SUM(AX84:AX87)</f>
        <v>0</v>
      </c>
      <c r="AY83" s="1068">
        <f t="shared" ref="AY83" si="436">SUM(AY84:AY87)</f>
        <v>0</v>
      </c>
      <c r="AZ83" s="1068">
        <f t="shared" ref="AZ83" si="437">SUM(AZ84:AZ87)</f>
        <v>0</v>
      </c>
      <c r="BA83" s="1068">
        <f t="shared" ref="BA83" si="438">SUM(BA84:BA87)</f>
        <v>0</v>
      </c>
      <c r="BB83" s="1068">
        <f t="shared" ref="BB83" si="439">SUM(BB84:BB87)</f>
        <v>0</v>
      </c>
      <c r="BC83" s="1068">
        <f t="shared" ref="BC83" si="440">SUM(BC84:BC87)</f>
        <v>0</v>
      </c>
      <c r="BD83" s="1068">
        <f t="shared" ref="BD83" si="441">SUM(BD84:BD87)</f>
        <v>0</v>
      </c>
      <c r="BE83" s="1068">
        <f t="shared" ref="BE83" si="442">SUM(BE84:BE87)</f>
        <v>0</v>
      </c>
      <c r="BF83" s="1068">
        <f t="shared" ref="BF83" si="443">SUM(BF84:BF87)</f>
        <v>0</v>
      </c>
      <c r="BG83" s="1068">
        <f t="shared" ref="BG83" si="444">SUM(BG84:BG87)</f>
        <v>0</v>
      </c>
      <c r="BH83" s="1068">
        <f t="shared" ref="BH83" si="445">SUM(BH84:BH87)</f>
        <v>0</v>
      </c>
      <c r="BI83" s="1069">
        <f t="shared" si="373"/>
        <v>0</v>
      </c>
      <c r="BJ83" s="1069">
        <f t="shared" si="374"/>
        <v>0</v>
      </c>
      <c r="BK83" s="1069">
        <f t="shared" si="375"/>
        <v>0</v>
      </c>
      <c r="BL83" s="1069">
        <f t="shared" si="376"/>
        <v>0</v>
      </c>
      <c r="BM83" s="1070"/>
    </row>
    <row r="84" spans="1:65" ht="27" thickTop="1" thickBot="1">
      <c r="A84" s="509"/>
      <c r="B84" s="509"/>
      <c r="C84" s="511"/>
      <c r="D84" s="511"/>
      <c r="E84" s="510"/>
      <c r="F84" s="510"/>
      <c r="G84" s="509"/>
      <c r="H84" s="1085" t="str">
        <f>+'Anexo 1 Matriz Inf Gestión-GD'!A88</f>
        <v>3202.04.01 Registrar con libro de operaciones el 100% de las Empresas forestales en la jurisdicción</v>
      </c>
      <c r="I84" s="1072"/>
      <c r="J84" s="1072"/>
      <c r="K84" s="1072"/>
      <c r="L84" s="1072"/>
      <c r="M84" s="1072"/>
      <c r="N84" s="1072"/>
      <c r="O84" s="1072"/>
      <c r="P84" s="1072"/>
      <c r="Q84" s="1072"/>
      <c r="R84" s="1072"/>
      <c r="S84" s="1072"/>
      <c r="T84" s="1072"/>
      <c r="U84" s="1072"/>
      <c r="V84" s="1072"/>
      <c r="W84" s="1072"/>
      <c r="X84" s="1072"/>
      <c r="Y84" s="1072"/>
      <c r="Z84" s="1072"/>
      <c r="AA84" s="1072"/>
      <c r="AB84" s="1072"/>
      <c r="AC84" s="1072"/>
      <c r="AD84" s="1072"/>
      <c r="AE84" s="1072"/>
      <c r="AF84" s="1072"/>
      <c r="AG84" s="1072"/>
      <c r="AH84" s="1072"/>
      <c r="AI84" s="1072"/>
      <c r="AJ84" s="1072"/>
      <c r="AK84" s="1072"/>
      <c r="AL84" s="1072"/>
      <c r="AM84" s="1072"/>
      <c r="AN84" s="1072"/>
      <c r="AO84" s="1072"/>
      <c r="AP84" s="1072"/>
      <c r="AQ84" s="1072"/>
      <c r="AR84" s="1072"/>
      <c r="AS84" s="1072"/>
      <c r="AT84" s="1072"/>
      <c r="AU84" s="1072"/>
      <c r="AV84" s="1072"/>
      <c r="AW84" s="1072"/>
      <c r="AX84" s="1072"/>
      <c r="AY84" s="1072"/>
      <c r="AZ84" s="1072"/>
      <c r="BA84" s="1072"/>
      <c r="BB84" s="1072"/>
      <c r="BC84" s="1072"/>
      <c r="BD84" s="1072"/>
      <c r="BE84" s="1072"/>
      <c r="BF84" s="1072"/>
      <c r="BG84" s="1072"/>
      <c r="BH84" s="1072"/>
      <c r="BI84" s="1073">
        <f t="shared" si="373"/>
        <v>0</v>
      </c>
      <c r="BJ84" s="1073">
        <f t="shared" si="374"/>
        <v>0</v>
      </c>
      <c r="BK84" s="1073">
        <f t="shared" si="375"/>
        <v>0</v>
      </c>
      <c r="BL84" s="1073">
        <f t="shared" si="376"/>
        <v>0</v>
      </c>
      <c r="BM84" s="508"/>
    </row>
    <row r="85" spans="1:65" ht="39.75" thickTop="1" thickBot="1">
      <c r="A85" s="509"/>
      <c r="B85" s="509"/>
      <c r="C85" s="511"/>
      <c r="D85" s="511"/>
      <c r="E85" s="510"/>
      <c r="F85" s="510"/>
      <c r="G85" s="509"/>
      <c r="H85" s="1071" t="str">
        <f>+'Anexo 1 Matriz Inf Gestión-GD'!A89</f>
        <v>3202.04.02 Establecer un proyecto piloto sostenible para la trasformación de la materia prima del bosque, que contribuyan con el uso sostenible de productos maderables y no maderables del bosque</v>
      </c>
      <c r="I85" s="1072"/>
      <c r="J85" s="1072"/>
      <c r="K85" s="1072"/>
      <c r="L85" s="1072"/>
      <c r="M85" s="1072"/>
      <c r="N85" s="1072"/>
      <c r="O85" s="1072"/>
      <c r="P85" s="1072"/>
      <c r="Q85" s="1072"/>
      <c r="R85" s="1072"/>
      <c r="S85" s="1072"/>
      <c r="T85" s="1072"/>
      <c r="U85" s="1072"/>
      <c r="V85" s="1072"/>
      <c r="W85" s="1072"/>
      <c r="X85" s="1072"/>
      <c r="Y85" s="1072"/>
      <c r="Z85" s="1072"/>
      <c r="AA85" s="1072"/>
      <c r="AB85" s="1072"/>
      <c r="AC85" s="1072"/>
      <c r="AD85" s="1072"/>
      <c r="AE85" s="1072"/>
      <c r="AF85" s="1072"/>
      <c r="AG85" s="1072"/>
      <c r="AH85" s="1072"/>
      <c r="AI85" s="1072"/>
      <c r="AJ85" s="1072"/>
      <c r="AK85" s="1072"/>
      <c r="AL85" s="1072"/>
      <c r="AM85" s="1072"/>
      <c r="AN85" s="1072"/>
      <c r="AO85" s="1072"/>
      <c r="AP85" s="1072"/>
      <c r="AQ85" s="1072"/>
      <c r="AR85" s="1072"/>
      <c r="AS85" s="1072"/>
      <c r="AT85" s="1072"/>
      <c r="AU85" s="1072"/>
      <c r="AV85" s="1072"/>
      <c r="AW85" s="1072"/>
      <c r="AX85" s="1072"/>
      <c r="AY85" s="1072"/>
      <c r="AZ85" s="1072"/>
      <c r="BA85" s="1072"/>
      <c r="BB85" s="1072"/>
      <c r="BC85" s="1072"/>
      <c r="BD85" s="1072"/>
      <c r="BE85" s="1072"/>
      <c r="BF85" s="1072"/>
      <c r="BG85" s="1072"/>
      <c r="BH85" s="1072"/>
      <c r="BI85" s="1073">
        <f t="shared" si="373"/>
        <v>0</v>
      </c>
      <c r="BJ85" s="1073">
        <f t="shared" si="374"/>
        <v>0</v>
      </c>
      <c r="BK85" s="1073">
        <f t="shared" si="375"/>
        <v>0</v>
      </c>
      <c r="BL85" s="1073">
        <f t="shared" si="376"/>
        <v>0</v>
      </c>
      <c r="BM85" s="508"/>
    </row>
    <row r="86" spans="1:65" ht="27" thickTop="1" thickBot="1">
      <c r="A86" s="509"/>
      <c r="B86" s="509"/>
      <c r="C86" s="511"/>
      <c r="D86" s="511"/>
      <c r="E86" s="510"/>
      <c r="F86" s="510"/>
      <c r="G86" s="509"/>
      <c r="H86" s="1071" t="str">
        <f>+'Anexo 1 Matriz Inf Gestión-GD'!A90</f>
        <v>3202.04.03 Promover y otorgar los Esquemas de Reconocimiento a la Legalidad a los usuarios del bosque y empresas forestales</v>
      </c>
      <c r="I86" s="1072"/>
      <c r="J86" s="1072"/>
      <c r="K86" s="1072"/>
      <c r="L86" s="1072"/>
      <c r="M86" s="1072"/>
      <c r="N86" s="1072"/>
      <c r="O86" s="1072"/>
      <c r="P86" s="1072"/>
      <c r="Q86" s="1072"/>
      <c r="R86" s="1072"/>
      <c r="S86" s="1072"/>
      <c r="T86" s="1072"/>
      <c r="U86" s="1072"/>
      <c r="V86" s="1072"/>
      <c r="W86" s="1072"/>
      <c r="X86" s="1072"/>
      <c r="Y86" s="1072"/>
      <c r="Z86" s="1072"/>
      <c r="AA86" s="1072"/>
      <c r="AB86" s="1072"/>
      <c r="AC86" s="1072"/>
      <c r="AD86" s="1072"/>
      <c r="AE86" s="1072"/>
      <c r="AF86" s="1072"/>
      <c r="AG86" s="1072"/>
      <c r="AH86" s="1072"/>
      <c r="AI86" s="1072"/>
      <c r="AJ86" s="1072"/>
      <c r="AK86" s="1072"/>
      <c r="AL86" s="1072"/>
      <c r="AM86" s="1072"/>
      <c r="AN86" s="1072"/>
      <c r="AO86" s="1072"/>
      <c r="AP86" s="1072"/>
      <c r="AQ86" s="1072"/>
      <c r="AR86" s="1072"/>
      <c r="AS86" s="1072"/>
      <c r="AT86" s="1072"/>
      <c r="AU86" s="1072"/>
      <c r="AV86" s="1072"/>
      <c r="AW86" s="1072"/>
      <c r="AX86" s="1072"/>
      <c r="AY86" s="1072"/>
      <c r="AZ86" s="1072"/>
      <c r="BA86" s="1072"/>
      <c r="BB86" s="1072"/>
      <c r="BC86" s="1072"/>
      <c r="BD86" s="1072"/>
      <c r="BE86" s="1072"/>
      <c r="BF86" s="1072"/>
      <c r="BG86" s="1072"/>
      <c r="BH86" s="1072"/>
      <c r="BI86" s="1073">
        <f t="shared" si="373"/>
        <v>0</v>
      </c>
      <c r="BJ86" s="1073">
        <f t="shared" si="374"/>
        <v>0</v>
      </c>
      <c r="BK86" s="1073">
        <f t="shared" si="375"/>
        <v>0</v>
      </c>
      <c r="BL86" s="1073">
        <f t="shared" si="376"/>
        <v>0</v>
      </c>
      <c r="BM86" s="508"/>
    </row>
    <row r="87" spans="1:65" ht="16.5" thickTop="1" thickBot="1">
      <c r="A87" s="509"/>
      <c r="B87" s="509"/>
      <c r="C87" s="511"/>
      <c r="D87" s="511"/>
      <c r="E87" s="510"/>
      <c r="F87" s="510"/>
      <c r="G87" s="509"/>
      <c r="H87" s="1071" t="str">
        <f>+'Anexo 1 Matriz Inf Gestión-GD'!A91</f>
        <v>3202.04.04 Realizar operativos de control al tráfico de flora.</v>
      </c>
      <c r="I87" s="1072"/>
      <c r="J87" s="1072"/>
      <c r="K87" s="1072"/>
      <c r="L87" s="1072"/>
      <c r="M87" s="1072"/>
      <c r="N87" s="1072"/>
      <c r="O87" s="1072"/>
      <c r="P87" s="1072"/>
      <c r="Q87" s="1072"/>
      <c r="R87" s="1072"/>
      <c r="S87" s="1072"/>
      <c r="T87" s="1072"/>
      <c r="U87" s="1072"/>
      <c r="V87" s="1072"/>
      <c r="W87" s="1072"/>
      <c r="X87" s="1072"/>
      <c r="Y87" s="1072"/>
      <c r="Z87" s="1072"/>
      <c r="AA87" s="1072"/>
      <c r="AB87" s="1072"/>
      <c r="AC87" s="1072"/>
      <c r="AD87" s="1072"/>
      <c r="AE87" s="1072"/>
      <c r="AF87" s="1072"/>
      <c r="AG87" s="1072"/>
      <c r="AH87" s="1072"/>
      <c r="AI87" s="1072"/>
      <c r="AJ87" s="1072"/>
      <c r="AK87" s="1072"/>
      <c r="AL87" s="1072"/>
      <c r="AM87" s="1072"/>
      <c r="AN87" s="1072"/>
      <c r="AO87" s="1072"/>
      <c r="AP87" s="1072"/>
      <c r="AQ87" s="1072"/>
      <c r="AR87" s="1072"/>
      <c r="AS87" s="1072"/>
      <c r="AT87" s="1072"/>
      <c r="AU87" s="1072"/>
      <c r="AV87" s="1072"/>
      <c r="AW87" s="1072"/>
      <c r="AX87" s="1072"/>
      <c r="AY87" s="1072"/>
      <c r="AZ87" s="1072"/>
      <c r="BA87" s="1072"/>
      <c r="BB87" s="1072"/>
      <c r="BC87" s="1072"/>
      <c r="BD87" s="1072"/>
      <c r="BE87" s="1072"/>
      <c r="BF87" s="1072"/>
      <c r="BG87" s="1072"/>
      <c r="BH87" s="1072"/>
      <c r="BI87" s="1073">
        <f t="shared" si="373"/>
        <v>0</v>
      </c>
      <c r="BJ87" s="1073">
        <f t="shared" si="374"/>
        <v>0</v>
      </c>
      <c r="BK87" s="1073">
        <f t="shared" si="375"/>
        <v>0</v>
      </c>
      <c r="BL87" s="1073">
        <f t="shared" si="376"/>
        <v>0</v>
      </c>
      <c r="BM87" s="508"/>
    </row>
    <row r="88" spans="1:65" ht="39.75" thickTop="1" thickBot="1">
      <c r="A88" s="1066"/>
      <c r="B88" s="1066"/>
      <c r="C88" s="1066"/>
      <c r="D88" s="1066"/>
      <c r="E88" s="1077"/>
      <c r="F88" s="1077"/>
      <c r="G88" s="1078"/>
      <c r="H88" s="1067" t="str">
        <f>+'Anexo 1 Matriz Inf Gestión-GD'!A92</f>
        <v xml:space="preserve">Proyecto 3202.05 Gestión del SIRAP  y/o implementación de otras estrategias de conservación de la biodiversidad y formulación e implementación y apoyo de PM  de AP  en el dpto. del Cesar. </v>
      </c>
      <c r="I88" s="1068">
        <f>SUM(I89:I98)</f>
        <v>0</v>
      </c>
      <c r="J88" s="1068">
        <f t="shared" ref="J88:AL88" si="446">SUM(J89:J98)</f>
        <v>0</v>
      </c>
      <c r="K88" s="1068">
        <f t="shared" si="446"/>
        <v>0</v>
      </c>
      <c r="L88" s="1068">
        <f t="shared" si="446"/>
        <v>0</v>
      </c>
      <c r="M88" s="1068">
        <f t="shared" si="446"/>
        <v>0</v>
      </c>
      <c r="N88" s="1068">
        <f t="shared" si="446"/>
        <v>0</v>
      </c>
      <c r="O88" s="1068">
        <f t="shared" si="446"/>
        <v>0</v>
      </c>
      <c r="P88" s="1068">
        <f t="shared" si="446"/>
        <v>0</v>
      </c>
      <c r="Q88" s="1068">
        <f t="shared" si="446"/>
        <v>0</v>
      </c>
      <c r="R88" s="1068">
        <f t="shared" si="446"/>
        <v>0</v>
      </c>
      <c r="S88" s="1068">
        <f t="shared" si="446"/>
        <v>0</v>
      </c>
      <c r="T88" s="1068">
        <f t="shared" si="446"/>
        <v>0</v>
      </c>
      <c r="U88" s="1068">
        <f t="shared" si="446"/>
        <v>0</v>
      </c>
      <c r="V88" s="1068">
        <f t="shared" si="446"/>
        <v>0</v>
      </c>
      <c r="W88" s="1068">
        <f t="shared" si="446"/>
        <v>0</v>
      </c>
      <c r="X88" s="1068">
        <f t="shared" si="446"/>
        <v>0</v>
      </c>
      <c r="Y88" s="1068">
        <f t="shared" si="446"/>
        <v>0</v>
      </c>
      <c r="Z88" s="1068">
        <f t="shared" si="446"/>
        <v>0</v>
      </c>
      <c r="AA88" s="1068">
        <f t="shared" si="446"/>
        <v>0</v>
      </c>
      <c r="AB88" s="1068">
        <f t="shared" si="446"/>
        <v>0</v>
      </c>
      <c r="AC88" s="1068">
        <f t="shared" si="446"/>
        <v>0</v>
      </c>
      <c r="AD88" s="1068">
        <f t="shared" si="446"/>
        <v>0</v>
      </c>
      <c r="AE88" s="1068">
        <f t="shared" si="446"/>
        <v>0</v>
      </c>
      <c r="AF88" s="1068">
        <f t="shared" si="446"/>
        <v>0</v>
      </c>
      <c r="AG88" s="1068">
        <f t="shared" si="446"/>
        <v>0</v>
      </c>
      <c r="AH88" s="1068">
        <f t="shared" si="446"/>
        <v>0</v>
      </c>
      <c r="AI88" s="1068">
        <f t="shared" si="446"/>
        <v>0</v>
      </c>
      <c r="AJ88" s="1068">
        <f t="shared" si="446"/>
        <v>0</v>
      </c>
      <c r="AK88" s="1068">
        <f t="shared" si="446"/>
        <v>0</v>
      </c>
      <c r="AL88" s="1068">
        <f t="shared" si="446"/>
        <v>0</v>
      </c>
      <c r="AM88" s="1068">
        <f t="shared" ref="AM88" si="447">SUM(AM89:AM98)</f>
        <v>0</v>
      </c>
      <c r="AN88" s="1068">
        <f t="shared" ref="AN88" si="448">SUM(AN89:AN98)</f>
        <v>0</v>
      </c>
      <c r="AO88" s="1068">
        <f t="shared" ref="AO88" si="449">SUM(AO89:AO98)</f>
        <v>0</v>
      </c>
      <c r="AP88" s="1068">
        <f t="shared" ref="AP88" si="450">SUM(AP89:AP98)</f>
        <v>0</v>
      </c>
      <c r="AQ88" s="1068">
        <f t="shared" ref="AQ88" si="451">SUM(AQ89:AQ98)</f>
        <v>0</v>
      </c>
      <c r="AR88" s="1068">
        <f t="shared" ref="AR88" si="452">SUM(AR89:AR98)</f>
        <v>0</v>
      </c>
      <c r="AS88" s="1068">
        <f t="shared" ref="AS88" si="453">SUM(AS89:AS98)</f>
        <v>0</v>
      </c>
      <c r="AT88" s="1068">
        <f t="shared" ref="AT88" si="454">SUM(AT89:AT98)</f>
        <v>0</v>
      </c>
      <c r="AU88" s="1068">
        <f t="shared" ref="AU88" si="455">SUM(AU89:AU98)</f>
        <v>0</v>
      </c>
      <c r="AV88" s="1068">
        <f t="shared" ref="AV88" si="456">SUM(AV89:AV98)</f>
        <v>0</v>
      </c>
      <c r="AW88" s="1068">
        <f t="shared" ref="AW88" si="457">SUM(AW89:AW98)</f>
        <v>0</v>
      </c>
      <c r="AX88" s="1068">
        <f t="shared" ref="AX88" si="458">SUM(AX89:AX98)</f>
        <v>0</v>
      </c>
      <c r="AY88" s="1068">
        <f t="shared" ref="AY88" si="459">SUM(AY89:AY98)</f>
        <v>0</v>
      </c>
      <c r="AZ88" s="1068">
        <f t="shared" ref="AZ88" si="460">SUM(AZ89:AZ98)</f>
        <v>0</v>
      </c>
      <c r="BA88" s="1068">
        <f t="shared" ref="BA88" si="461">SUM(BA89:BA98)</f>
        <v>0</v>
      </c>
      <c r="BB88" s="1068">
        <f t="shared" ref="BB88" si="462">SUM(BB89:BB98)</f>
        <v>0</v>
      </c>
      <c r="BC88" s="1068">
        <f t="shared" ref="BC88" si="463">SUM(BC89:BC98)</f>
        <v>0</v>
      </c>
      <c r="BD88" s="1068">
        <f t="shared" ref="BD88" si="464">SUM(BD89:BD98)</f>
        <v>0</v>
      </c>
      <c r="BE88" s="1068">
        <f t="shared" ref="BE88" si="465">SUM(BE89:BE98)</f>
        <v>0</v>
      </c>
      <c r="BF88" s="1068">
        <f t="shared" ref="BF88" si="466">SUM(BF89:BF98)</f>
        <v>0</v>
      </c>
      <c r="BG88" s="1068">
        <f t="shared" ref="BG88" si="467">SUM(BG89:BG98)</f>
        <v>0</v>
      </c>
      <c r="BH88" s="1068">
        <f t="shared" ref="BH88" si="468">SUM(BH89:BH98)</f>
        <v>0</v>
      </c>
      <c r="BI88" s="1069">
        <f t="shared" si="373"/>
        <v>0</v>
      </c>
      <c r="BJ88" s="1069">
        <f t="shared" si="374"/>
        <v>0</v>
      </c>
      <c r="BK88" s="1069">
        <f t="shared" si="375"/>
        <v>0</v>
      </c>
      <c r="BL88" s="1069">
        <f t="shared" si="376"/>
        <v>0</v>
      </c>
      <c r="BM88" s="1070"/>
    </row>
    <row r="89" spans="1:65" ht="27" thickTop="1" thickBot="1">
      <c r="A89" s="509"/>
      <c r="B89" s="509"/>
      <c r="C89" s="511"/>
      <c r="D89" s="511"/>
      <c r="E89" s="510"/>
      <c r="F89" s="510"/>
      <c r="G89" s="509"/>
      <c r="H89" s="1071" t="str">
        <f>+'Anexo 1 Matriz Inf Gestión-GD'!A93</f>
        <v>3202.05.01 (A) Formulación e implementación del PM del DRMI del Complejo Cenagoso de Zapatosa (RAMSAR Zapatosa)</v>
      </c>
      <c r="I89" s="1072"/>
      <c r="J89" s="1072"/>
      <c r="K89" s="1072"/>
      <c r="L89" s="1072"/>
      <c r="M89" s="1072"/>
      <c r="N89" s="1072"/>
      <c r="O89" s="1072"/>
      <c r="P89" s="1072"/>
      <c r="Q89" s="1072"/>
      <c r="R89" s="1072"/>
      <c r="S89" s="1072"/>
      <c r="T89" s="1072"/>
      <c r="U89" s="1072"/>
      <c r="V89" s="1072"/>
      <c r="W89" s="1072"/>
      <c r="X89" s="1072"/>
      <c r="Y89" s="1072"/>
      <c r="Z89" s="1072"/>
      <c r="AA89" s="1072"/>
      <c r="AB89" s="1072"/>
      <c r="AC89" s="1072"/>
      <c r="AD89" s="1072"/>
      <c r="AE89" s="1072"/>
      <c r="AF89" s="1072"/>
      <c r="AG89" s="1072"/>
      <c r="AH89" s="1072"/>
      <c r="AI89" s="1072"/>
      <c r="AJ89" s="1072"/>
      <c r="AK89" s="1072"/>
      <c r="AL89" s="1072"/>
      <c r="AM89" s="1072"/>
      <c r="AN89" s="1072"/>
      <c r="AO89" s="1072"/>
      <c r="AP89" s="1072"/>
      <c r="AQ89" s="1072"/>
      <c r="AR89" s="1072"/>
      <c r="AS89" s="1072"/>
      <c r="AT89" s="1072"/>
      <c r="AU89" s="1072"/>
      <c r="AV89" s="1072"/>
      <c r="AW89" s="1072"/>
      <c r="AX89" s="1072"/>
      <c r="AY89" s="1072"/>
      <c r="AZ89" s="1072"/>
      <c r="BA89" s="1072"/>
      <c r="BB89" s="1072"/>
      <c r="BC89" s="1072"/>
      <c r="BD89" s="1072"/>
      <c r="BE89" s="1072"/>
      <c r="BF89" s="1072"/>
      <c r="BG89" s="1072"/>
      <c r="BH89" s="1072"/>
      <c r="BI89" s="1073">
        <f t="shared" si="373"/>
        <v>0</v>
      </c>
      <c r="BJ89" s="1073">
        <f t="shared" si="374"/>
        <v>0</v>
      </c>
      <c r="BK89" s="1073">
        <f t="shared" si="375"/>
        <v>0</v>
      </c>
      <c r="BL89" s="1073">
        <f t="shared" si="376"/>
        <v>0</v>
      </c>
      <c r="BM89" s="508"/>
    </row>
    <row r="90" spans="1:65" ht="27" thickTop="1" thickBot="1">
      <c r="A90" s="509"/>
      <c r="B90" s="509"/>
      <c r="C90" s="511"/>
      <c r="D90" s="511"/>
      <c r="E90" s="510"/>
      <c r="F90" s="510"/>
      <c r="G90" s="509"/>
      <c r="H90" s="1071" t="str">
        <f>+'Anexo 1 Matriz Inf Gestión-GD'!A94</f>
        <v>3202.05.01 (B) Formulación e implementación del PM del DRMI del Complejo Cenagoso de Zapatosa (RAMSAR Zapatosa)</v>
      </c>
      <c r="I90" s="1072"/>
      <c r="J90" s="1072"/>
      <c r="K90" s="1072"/>
      <c r="L90" s="1072"/>
      <c r="M90" s="1072"/>
      <c r="N90" s="1072"/>
      <c r="O90" s="1072"/>
      <c r="P90" s="1072"/>
      <c r="Q90" s="1072"/>
      <c r="R90" s="1072"/>
      <c r="S90" s="1072"/>
      <c r="T90" s="1072"/>
      <c r="U90" s="1072"/>
      <c r="V90" s="1072"/>
      <c r="W90" s="1072"/>
      <c r="X90" s="1072"/>
      <c r="Y90" s="1072"/>
      <c r="Z90" s="1072"/>
      <c r="AA90" s="1072"/>
      <c r="AB90" s="1072"/>
      <c r="AC90" s="1072"/>
      <c r="AD90" s="1072"/>
      <c r="AE90" s="1072"/>
      <c r="AF90" s="1072"/>
      <c r="AG90" s="1072"/>
      <c r="AH90" s="1072"/>
      <c r="AI90" s="1072"/>
      <c r="AJ90" s="1072"/>
      <c r="AK90" s="1072"/>
      <c r="AL90" s="1072"/>
      <c r="AM90" s="1072"/>
      <c r="AN90" s="1072"/>
      <c r="AO90" s="1072"/>
      <c r="AP90" s="1072"/>
      <c r="AQ90" s="1072"/>
      <c r="AR90" s="1072"/>
      <c r="AS90" s="1072"/>
      <c r="AT90" s="1072"/>
      <c r="AU90" s="1072"/>
      <c r="AV90" s="1072"/>
      <c r="AW90" s="1072"/>
      <c r="AX90" s="1072"/>
      <c r="AY90" s="1072"/>
      <c r="AZ90" s="1072"/>
      <c r="BA90" s="1072"/>
      <c r="BB90" s="1072"/>
      <c r="BC90" s="1072"/>
      <c r="BD90" s="1072"/>
      <c r="BE90" s="1072"/>
      <c r="BF90" s="1072"/>
      <c r="BG90" s="1072"/>
      <c r="BH90" s="1072"/>
      <c r="BI90" s="1073">
        <f t="shared" si="373"/>
        <v>0</v>
      </c>
      <c r="BJ90" s="1073">
        <f t="shared" si="374"/>
        <v>0</v>
      </c>
      <c r="BK90" s="1073">
        <f t="shared" si="375"/>
        <v>0</v>
      </c>
      <c r="BL90" s="1073">
        <f t="shared" si="376"/>
        <v>0</v>
      </c>
      <c r="BM90" s="508"/>
    </row>
    <row r="91" spans="1:65" s="1093" customFormat="1" ht="28.5" thickTop="1" thickBot="1">
      <c r="A91" s="514"/>
      <c r="B91" s="514"/>
      <c r="C91" s="514"/>
      <c r="D91" s="514"/>
      <c r="E91" s="513"/>
      <c r="F91" s="513"/>
      <c r="G91" s="513"/>
      <c r="H91" s="1110" t="str">
        <f>+'Anexo 1 Matriz Inf Gestión-GD'!A95</f>
        <v>3202.05.05. Gestión para la formulación de PM de APR y otras estrategias de conservación</v>
      </c>
      <c r="I91" s="1111"/>
      <c r="J91" s="1111"/>
      <c r="K91" s="1111"/>
      <c r="L91" s="1111"/>
      <c r="M91" s="1111"/>
      <c r="N91" s="1111"/>
      <c r="O91" s="1111"/>
      <c r="P91" s="1111"/>
      <c r="Q91" s="1111"/>
      <c r="R91" s="1111"/>
      <c r="S91" s="1111"/>
      <c r="T91" s="1111"/>
      <c r="U91" s="1111"/>
      <c r="V91" s="1111"/>
      <c r="W91" s="1111"/>
      <c r="X91" s="1111"/>
      <c r="Y91" s="1111"/>
      <c r="Z91" s="1111"/>
      <c r="AA91" s="1111"/>
      <c r="AB91" s="1111"/>
      <c r="AC91" s="1111"/>
      <c r="AD91" s="1111"/>
      <c r="AE91" s="1111"/>
      <c r="AF91" s="1111"/>
      <c r="AG91" s="1111"/>
      <c r="AH91" s="1111"/>
      <c r="AI91" s="1111"/>
      <c r="AJ91" s="1111"/>
      <c r="AK91" s="1111"/>
      <c r="AL91" s="1111"/>
      <c r="AM91" s="1111"/>
      <c r="AN91" s="1111"/>
      <c r="AO91" s="1111"/>
      <c r="AP91" s="1111"/>
      <c r="AQ91" s="1111"/>
      <c r="AR91" s="1111"/>
      <c r="AS91" s="1111"/>
      <c r="AT91" s="1111"/>
      <c r="AU91" s="1111"/>
      <c r="AV91" s="1111"/>
      <c r="AW91" s="1111"/>
      <c r="AX91" s="1111"/>
      <c r="AY91" s="1111"/>
      <c r="AZ91" s="1111"/>
      <c r="BA91" s="1111"/>
      <c r="BB91" s="1111"/>
      <c r="BC91" s="1111"/>
      <c r="BD91" s="1111"/>
      <c r="BE91" s="1111"/>
      <c r="BF91" s="1111"/>
      <c r="BG91" s="1111"/>
      <c r="BH91" s="1111"/>
      <c r="BI91" s="1092">
        <f t="shared" si="373"/>
        <v>0</v>
      </c>
      <c r="BJ91" s="1092">
        <f t="shared" si="374"/>
        <v>0</v>
      </c>
      <c r="BK91" s="1092">
        <f t="shared" si="375"/>
        <v>0</v>
      </c>
      <c r="BL91" s="1092">
        <f t="shared" si="376"/>
        <v>0</v>
      </c>
      <c r="BM91" s="1089"/>
    </row>
    <row r="92" spans="1:65" s="1093" customFormat="1" ht="27" thickTop="1" thickBot="1">
      <c r="A92" s="513"/>
      <c r="B92" s="513"/>
      <c r="C92" s="513"/>
      <c r="D92" s="513"/>
      <c r="E92" s="1100"/>
      <c r="F92" s="1100"/>
      <c r="G92" s="1101"/>
      <c r="H92" s="1090" t="str">
        <f>+'Anexo 1 Matriz Inf Gestión-GD'!A96</f>
        <v>3202.05.06. Gestión para la implementación de PM de APR y otras estrategias de conservación.</v>
      </c>
      <c r="I92" s="1091"/>
      <c r="J92" s="1091"/>
      <c r="K92" s="1091"/>
      <c r="L92" s="1091"/>
      <c r="M92" s="1091"/>
      <c r="N92" s="1091"/>
      <c r="O92" s="1091"/>
      <c r="P92" s="1091"/>
      <c r="Q92" s="1091"/>
      <c r="R92" s="1091"/>
      <c r="S92" s="1091"/>
      <c r="T92" s="1091"/>
      <c r="U92" s="1091"/>
      <c r="V92" s="1091"/>
      <c r="W92" s="1091"/>
      <c r="X92" s="1091"/>
      <c r="Y92" s="1091"/>
      <c r="Z92" s="1091"/>
      <c r="AA92" s="1091"/>
      <c r="AB92" s="1091"/>
      <c r="AC92" s="1091"/>
      <c r="AD92" s="1091"/>
      <c r="AE92" s="1091"/>
      <c r="AF92" s="1091"/>
      <c r="AG92" s="1091"/>
      <c r="AH92" s="1091"/>
      <c r="AI92" s="1091"/>
      <c r="AJ92" s="1091"/>
      <c r="AK92" s="1091"/>
      <c r="AL92" s="1091"/>
      <c r="AM92" s="1091"/>
      <c r="AN92" s="1091"/>
      <c r="AO92" s="1091"/>
      <c r="AP92" s="1091"/>
      <c r="AQ92" s="1091"/>
      <c r="AR92" s="1091"/>
      <c r="AS92" s="1091"/>
      <c r="AT92" s="1091"/>
      <c r="AU92" s="1091"/>
      <c r="AV92" s="1091"/>
      <c r="AW92" s="1091"/>
      <c r="AX92" s="1091"/>
      <c r="AY92" s="1091"/>
      <c r="AZ92" s="1091"/>
      <c r="BA92" s="1091"/>
      <c r="BB92" s="1091"/>
      <c r="BC92" s="1091"/>
      <c r="BD92" s="1091"/>
      <c r="BE92" s="1091"/>
      <c r="BF92" s="1091"/>
      <c r="BG92" s="1091"/>
      <c r="BH92" s="1091"/>
      <c r="BI92" s="1092">
        <f t="shared" si="373"/>
        <v>0</v>
      </c>
      <c r="BJ92" s="1092">
        <f t="shared" si="374"/>
        <v>0</v>
      </c>
      <c r="BK92" s="1092">
        <f t="shared" si="375"/>
        <v>0</v>
      </c>
      <c r="BL92" s="1092">
        <f t="shared" si="376"/>
        <v>0</v>
      </c>
      <c r="BM92" s="1089"/>
    </row>
    <row r="93" spans="1:65" s="1093" customFormat="1" ht="27" thickTop="1" thickBot="1">
      <c r="A93" s="513"/>
      <c r="B93" s="513"/>
      <c r="C93" s="514"/>
      <c r="D93" s="514"/>
      <c r="E93" s="514"/>
      <c r="F93" s="514"/>
      <c r="G93" s="513"/>
      <c r="H93" s="1112" t="str">
        <f>+'Anexo 1 Matriz Inf Gestión-GD'!A97</f>
        <v>3202.05.02 Desarrollo de estudios para la declaratoria de nuevas APR y/o otras estrategias de la conservación de la biodiversidad</v>
      </c>
      <c r="I93" s="1111"/>
      <c r="J93" s="1111"/>
      <c r="K93" s="1111"/>
      <c r="L93" s="1111"/>
      <c r="M93" s="1111"/>
      <c r="N93" s="1111"/>
      <c r="O93" s="1111"/>
      <c r="P93" s="1111"/>
      <c r="Q93" s="1111"/>
      <c r="R93" s="1111"/>
      <c r="S93" s="1111"/>
      <c r="T93" s="1111"/>
      <c r="U93" s="1111"/>
      <c r="V93" s="1111"/>
      <c r="W93" s="1111"/>
      <c r="X93" s="1111"/>
      <c r="Y93" s="1111"/>
      <c r="Z93" s="1111"/>
      <c r="AA93" s="1111"/>
      <c r="AB93" s="1111"/>
      <c r="AC93" s="1111"/>
      <c r="AD93" s="1111"/>
      <c r="AE93" s="1111"/>
      <c r="AF93" s="1111"/>
      <c r="AG93" s="1111"/>
      <c r="AH93" s="1111"/>
      <c r="AI93" s="1111"/>
      <c r="AJ93" s="1111"/>
      <c r="AK93" s="1111"/>
      <c r="AL93" s="1111"/>
      <c r="AM93" s="1111"/>
      <c r="AN93" s="1111"/>
      <c r="AO93" s="1111"/>
      <c r="AP93" s="1111"/>
      <c r="AQ93" s="1111"/>
      <c r="AR93" s="1111"/>
      <c r="AS93" s="1111"/>
      <c r="AT93" s="1111"/>
      <c r="AU93" s="1111"/>
      <c r="AV93" s="1111"/>
      <c r="AW93" s="1111"/>
      <c r="AX93" s="1111"/>
      <c r="AY93" s="1111"/>
      <c r="AZ93" s="1111"/>
      <c r="BA93" s="1111"/>
      <c r="BB93" s="1111"/>
      <c r="BC93" s="1111"/>
      <c r="BD93" s="1111"/>
      <c r="BE93" s="1111"/>
      <c r="BF93" s="1111"/>
      <c r="BG93" s="1111"/>
      <c r="BH93" s="1111"/>
      <c r="BI93" s="1092">
        <f t="shared" si="373"/>
        <v>0</v>
      </c>
      <c r="BJ93" s="1092">
        <f t="shared" si="374"/>
        <v>0</v>
      </c>
      <c r="BK93" s="1092">
        <f t="shared" si="375"/>
        <v>0</v>
      </c>
      <c r="BL93" s="1092">
        <f t="shared" si="376"/>
        <v>0</v>
      </c>
      <c r="BM93" s="1089"/>
    </row>
    <row r="94" spans="1:65" s="1093" customFormat="1" ht="27" thickTop="1" thickBot="1">
      <c r="A94" s="513"/>
      <c r="B94" s="513"/>
      <c r="C94" s="514"/>
      <c r="D94" s="514"/>
      <c r="E94" s="514"/>
      <c r="F94" s="514"/>
      <c r="G94" s="513"/>
      <c r="H94" s="1112" t="str">
        <f>+'Anexo 1 Matriz Inf Gestión-GD'!A98</f>
        <v>3202.05.03. Desarrollo de procesos para la declaratoria de nuevas APR y/o otras estrategias de la conservación de la biodiversidad.</v>
      </c>
      <c r="I94" s="1111"/>
      <c r="J94" s="1111"/>
      <c r="K94" s="1111"/>
      <c r="L94" s="1111"/>
      <c r="M94" s="1111"/>
      <c r="N94" s="1111"/>
      <c r="O94" s="1111"/>
      <c r="P94" s="1111"/>
      <c r="Q94" s="1111"/>
      <c r="R94" s="1111"/>
      <c r="S94" s="1111"/>
      <c r="T94" s="1111"/>
      <c r="U94" s="1111"/>
      <c r="V94" s="1111"/>
      <c r="W94" s="1111"/>
      <c r="X94" s="1111"/>
      <c r="Y94" s="1111"/>
      <c r="Z94" s="1111"/>
      <c r="AA94" s="1111"/>
      <c r="AB94" s="1111"/>
      <c r="AC94" s="1111"/>
      <c r="AD94" s="1111"/>
      <c r="AE94" s="1111"/>
      <c r="AF94" s="1111"/>
      <c r="AG94" s="1111"/>
      <c r="AH94" s="1111"/>
      <c r="AI94" s="1111"/>
      <c r="AJ94" s="1111"/>
      <c r="AK94" s="1111"/>
      <c r="AL94" s="1111"/>
      <c r="AM94" s="1111"/>
      <c r="AN94" s="1111"/>
      <c r="AO94" s="1111"/>
      <c r="AP94" s="1111"/>
      <c r="AQ94" s="1111"/>
      <c r="AR94" s="1111"/>
      <c r="AS94" s="1111"/>
      <c r="AT94" s="1111"/>
      <c r="AU94" s="1111"/>
      <c r="AV94" s="1111"/>
      <c r="AW94" s="1111"/>
      <c r="AX94" s="1111"/>
      <c r="AY94" s="1111"/>
      <c r="AZ94" s="1111"/>
      <c r="BA94" s="1111"/>
      <c r="BB94" s="1111"/>
      <c r="BC94" s="1111"/>
      <c r="BD94" s="1111"/>
      <c r="BE94" s="1111"/>
      <c r="BF94" s="1111"/>
      <c r="BG94" s="1111"/>
      <c r="BH94" s="1111"/>
      <c r="BI94" s="1092">
        <f t="shared" si="373"/>
        <v>0</v>
      </c>
      <c r="BJ94" s="1092">
        <f t="shared" si="374"/>
        <v>0</v>
      </c>
      <c r="BK94" s="1092">
        <f t="shared" si="375"/>
        <v>0</v>
      </c>
      <c r="BL94" s="1092">
        <f t="shared" si="376"/>
        <v>0</v>
      </c>
      <c r="BM94" s="1089"/>
    </row>
    <row r="95" spans="1:65" s="1093" customFormat="1" ht="27" thickTop="1" thickBot="1">
      <c r="A95" s="513"/>
      <c r="B95" s="513"/>
      <c r="C95" s="514"/>
      <c r="D95" s="514"/>
      <c r="E95" s="514"/>
      <c r="F95" s="514"/>
      <c r="G95" s="513"/>
      <c r="H95" s="1112" t="str">
        <f>+'Anexo 1 Matriz Inf Gestión-GD'!A99</f>
        <v>3202.05.04. Declaratoria de nuevas APR y/o otras estrategias de la conservación de la biodiversidad.</v>
      </c>
      <c r="I95" s="1111"/>
      <c r="J95" s="1111"/>
      <c r="K95" s="1111"/>
      <c r="L95" s="1111"/>
      <c r="M95" s="1111"/>
      <c r="N95" s="1111"/>
      <c r="O95" s="1111"/>
      <c r="P95" s="1111"/>
      <c r="Q95" s="1111"/>
      <c r="R95" s="1111"/>
      <c r="S95" s="1111"/>
      <c r="T95" s="1111"/>
      <c r="U95" s="1111"/>
      <c r="V95" s="1111"/>
      <c r="W95" s="1111"/>
      <c r="X95" s="1111"/>
      <c r="Y95" s="1111"/>
      <c r="Z95" s="1111"/>
      <c r="AA95" s="1111"/>
      <c r="AB95" s="1111"/>
      <c r="AC95" s="1111"/>
      <c r="AD95" s="1111"/>
      <c r="AE95" s="1111"/>
      <c r="AF95" s="1111"/>
      <c r="AG95" s="1111"/>
      <c r="AH95" s="1111"/>
      <c r="AI95" s="1111"/>
      <c r="AJ95" s="1111"/>
      <c r="AK95" s="1111"/>
      <c r="AL95" s="1111"/>
      <c r="AM95" s="1111"/>
      <c r="AN95" s="1111"/>
      <c r="AO95" s="1111"/>
      <c r="AP95" s="1111"/>
      <c r="AQ95" s="1111"/>
      <c r="AR95" s="1111"/>
      <c r="AS95" s="1111"/>
      <c r="AT95" s="1111"/>
      <c r="AU95" s="1111"/>
      <c r="AV95" s="1111"/>
      <c r="AW95" s="1111"/>
      <c r="AX95" s="1111"/>
      <c r="AY95" s="1111"/>
      <c r="AZ95" s="1111"/>
      <c r="BA95" s="1111"/>
      <c r="BB95" s="1111"/>
      <c r="BC95" s="1111"/>
      <c r="BD95" s="1111"/>
      <c r="BE95" s="1111"/>
      <c r="BF95" s="1111"/>
      <c r="BG95" s="1111"/>
      <c r="BH95" s="1111"/>
      <c r="BI95" s="1092">
        <f t="shared" si="373"/>
        <v>0</v>
      </c>
      <c r="BJ95" s="1092">
        <f t="shared" si="374"/>
        <v>0</v>
      </c>
      <c r="BK95" s="1092">
        <f t="shared" si="375"/>
        <v>0</v>
      </c>
      <c r="BL95" s="1092">
        <f t="shared" si="376"/>
        <v>0</v>
      </c>
      <c r="BM95" s="1089"/>
    </row>
    <row r="96" spans="1:65" s="1093" customFormat="1" ht="27" thickTop="1" thickBot="1">
      <c r="A96" s="513"/>
      <c r="B96" s="513"/>
      <c r="C96" s="514"/>
      <c r="D96" s="514"/>
      <c r="E96" s="514"/>
      <c r="F96" s="514"/>
      <c r="G96" s="513"/>
      <c r="H96" s="1112" t="str">
        <f>+'Anexo 1 Matriz Inf Gestión-GD'!A100</f>
        <v>3202.05.07 Gestión, apoyo y articulación interinstitucional en el desarrollo de los sistemas de áreas protegidas (SINAP, SIRAP, SIDAP, SILAP)</v>
      </c>
      <c r="I96" s="1111"/>
      <c r="J96" s="1111"/>
      <c r="K96" s="1111"/>
      <c r="L96" s="1111"/>
      <c r="M96" s="1111"/>
      <c r="N96" s="1111"/>
      <c r="O96" s="1111"/>
      <c r="P96" s="1111"/>
      <c r="Q96" s="1111"/>
      <c r="R96" s="1111"/>
      <c r="S96" s="1111"/>
      <c r="T96" s="1111"/>
      <c r="U96" s="1111"/>
      <c r="V96" s="1111"/>
      <c r="W96" s="1111"/>
      <c r="X96" s="1111"/>
      <c r="Y96" s="1111"/>
      <c r="Z96" s="1111"/>
      <c r="AA96" s="1111"/>
      <c r="AB96" s="1111"/>
      <c r="AC96" s="1111"/>
      <c r="AD96" s="1111"/>
      <c r="AE96" s="1111"/>
      <c r="AF96" s="1111"/>
      <c r="AG96" s="1111"/>
      <c r="AH96" s="1111"/>
      <c r="AI96" s="1111"/>
      <c r="AJ96" s="1111"/>
      <c r="AK96" s="1111"/>
      <c r="AL96" s="1111"/>
      <c r="AM96" s="1111"/>
      <c r="AN96" s="1111"/>
      <c r="AO96" s="1111"/>
      <c r="AP96" s="1111"/>
      <c r="AQ96" s="1111"/>
      <c r="AR96" s="1111"/>
      <c r="AS96" s="1111"/>
      <c r="AT96" s="1111"/>
      <c r="AU96" s="1111"/>
      <c r="AV96" s="1111"/>
      <c r="AW96" s="1111"/>
      <c r="AX96" s="1111"/>
      <c r="AY96" s="1111"/>
      <c r="AZ96" s="1111"/>
      <c r="BA96" s="1111"/>
      <c r="BB96" s="1111"/>
      <c r="BC96" s="1111"/>
      <c r="BD96" s="1111"/>
      <c r="BE96" s="1111"/>
      <c r="BF96" s="1111"/>
      <c r="BG96" s="1111"/>
      <c r="BH96" s="1111"/>
      <c r="BI96" s="1092">
        <f t="shared" si="373"/>
        <v>0</v>
      </c>
      <c r="BJ96" s="1092">
        <f t="shared" si="374"/>
        <v>0</v>
      </c>
      <c r="BK96" s="1092">
        <f t="shared" si="375"/>
        <v>0</v>
      </c>
      <c r="BL96" s="1092">
        <f t="shared" si="376"/>
        <v>0</v>
      </c>
      <c r="BM96" s="1089"/>
    </row>
    <row r="97" spans="1:65" s="1093" customFormat="1" ht="16.5" thickTop="1" thickBot="1">
      <c r="A97" s="514"/>
      <c r="B97" s="514"/>
      <c r="C97" s="514"/>
      <c r="D97" s="514"/>
      <c r="E97" s="513"/>
      <c r="F97" s="513"/>
      <c r="G97" s="513"/>
      <c r="H97" s="1110" t="str">
        <f>+'Anexo 1 Matriz Inf Gestión-GD'!A101</f>
        <v>3202.05.08. Gestión e implementación de acciones en el Bosque seco tropical</v>
      </c>
      <c r="I97" s="1111"/>
      <c r="J97" s="1111"/>
      <c r="K97" s="1111"/>
      <c r="L97" s="1111"/>
      <c r="M97" s="1111"/>
      <c r="N97" s="1111"/>
      <c r="O97" s="1111"/>
      <c r="P97" s="1111"/>
      <c r="Q97" s="1111"/>
      <c r="R97" s="1111"/>
      <c r="S97" s="1111"/>
      <c r="T97" s="1111"/>
      <c r="U97" s="1111"/>
      <c r="V97" s="1111"/>
      <c r="W97" s="1111"/>
      <c r="X97" s="1111"/>
      <c r="Y97" s="1111"/>
      <c r="Z97" s="1111"/>
      <c r="AA97" s="1111"/>
      <c r="AB97" s="1111"/>
      <c r="AC97" s="1111"/>
      <c r="AD97" s="1111"/>
      <c r="AE97" s="1111"/>
      <c r="AF97" s="1111"/>
      <c r="AG97" s="1111"/>
      <c r="AH97" s="1111"/>
      <c r="AI97" s="1111"/>
      <c r="AJ97" s="1111"/>
      <c r="AK97" s="1111"/>
      <c r="AL97" s="1111"/>
      <c r="AM97" s="1111"/>
      <c r="AN97" s="1111"/>
      <c r="AO97" s="1111"/>
      <c r="AP97" s="1111"/>
      <c r="AQ97" s="1111"/>
      <c r="AR97" s="1111"/>
      <c r="AS97" s="1111"/>
      <c r="AT97" s="1111"/>
      <c r="AU97" s="1111"/>
      <c r="AV97" s="1111"/>
      <c r="AW97" s="1111"/>
      <c r="AX97" s="1111"/>
      <c r="AY97" s="1111"/>
      <c r="AZ97" s="1111"/>
      <c r="BA97" s="1111"/>
      <c r="BB97" s="1111"/>
      <c r="BC97" s="1111"/>
      <c r="BD97" s="1111"/>
      <c r="BE97" s="1111"/>
      <c r="BF97" s="1111"/>
      <c r="BG97" s="1111"/>
      <c r="BH97" s="1111"/>
      <c r="BI97" s="1092">
        <f t="shared" si="373"/>
        <v>0</v>
      </c>
      <c r="BJ97" s="1092">
        <f t="shared" si="374"/>
        <v>0</v>
      </c>
      <c r="BK97" s="1092">
        <f t="shared" si="375"/>
        <v>0</v>
      </c>
      <c r="BL97" s="1092">
        <f t="shared" si="376"/>
        <v>0</v>
      </c>
      <c r="BM97" s="1089"/>
    </row>
    <row r="98" spans="1:65" s="1093" customFormat="1" ht="16.5" thickTop="1" thickBot="1">
      <c r="A98" s="513"/>
      <c r="B98" s="513"/>
      <c r="C98" s="513"/>
      <c r="D98" s="1102"/>
      <c r="E98" s="1100"/>
      <c r="F98" s="1100"/>
      <c r="G98" s="1101"/>
      <c r="H98" s="1090" t="str">
        <f>+'Anexo 1 Matriz Inf Gestión-GD'!A102</f>
        <v>3202.05.09 Gestión e implementación de acciones en humedales</v>
      </c>
      <c r="I98" s="1091"/>
      <c r="J98" s="1091"/>
      <c r="K98" s="1091"/>
      <c r="L98" s="1091"/>
      <c r="M98" s="1091"/>
      <c r="N98" s="1091"/>
      <c r="O98" s="1091"/>
      <c r="P98" s="1091"/>
      <c r="Q98" s="1091"/>
      <c r="R98" s="1091"/>
      <c r="S98" s="1091"/>
      <c r="T98" s="1091"/>
      <c r="U98" s="1091"/>
      <c r="V98" s="1091"/>
      <c r="W98" s="1091"/>
      <c r="X98" s="1091"/>
      <c r="Y98" s="1091"/>
      <c r="Z98" s="1091"/>
      <c r="AA98" s="1091"/>
      <c r="AB98" s="1091"/>
      <c r="AC98" s="1091"/>
      <c r="AD98" s="1091"/>
      <c r="AE98" s="1091"/>
      <c r="AF98" s="1091"/>
      <c r="AG98" s="1091"/>
      <c r="AH98" s="1091"/>
      <c r="AI98" s="1091"/>
      <c r="AJ98" s="1091"/>
      <c r="AK98" s="1091"/>
      <c r="AL98" s="1091"/>
      <c r="AM98" s="1091"/>
      <c r="AN98" s="1091"/>
      <c r="AO98" s="1091"/>
      <c r="AP98" s="1091"/>
      <c r="AQ98" s="1091"/>
      <c r="AR98" s="1091"/>
      <c r="AS98" s="1091"/>
      <c r="AT98" s="1091"/>
      <c r="AU98" s="1091"/>
      <c r="AV98" s="1091"/>
      <c r="AW98" s="1091"/>
      <c r="AX98" s="1091"/>
      <c r="AY98" s="1091"/>
      <c r="AZ98" s="1091"/>
      <c r="BA98" s="1091"/>
      <c r="BB98" s="1091"/>
      <c r="BC98" s="1091"/>
      <c r="BD98" s="1091"/>
      <c r="BE98" s="1091"/>
      <c r="BF98" s="1091"/>
      <c r="BG98" s="1091"/>
      <c r="BH98" s="1091"/>
      <c r="BI98" s="1092">
        <f t="shared" si="373"/>
        <v>0</v>
      </c>
      <c r="BJ98" s="1092">
        <f t="shared" si="374"/>
        <v>0</v>
      </c>
      <c r="BK98" s="1092">
        <f t="shared" si="375"/>
        <v>0</v>
      </c>
      <c r="BL98" s="1092">
        <f t="shared" si="376"/>
        <v>0</v>
      </c>
      <c r="BM98" s="1089"/>
    </row>
    <row r="99" spans="1:65" ht="27" thickTop="1" thickBot="1">
      <c r="A99" s="1066"/>
      <c r="B99" s="1066"/>
      <c r="C99" s="1066"/>
      <c r="D99" s="1082"/>
      <c r="E99" s="1077"/>
      <c r="F99" s="1077"/>
      <c r="G99" s="1078"/>
      <c r="H99" s="1067" t="str">
        <f>+'Anexo 1 Matriz Inf Gestión-GD'!A103</f>
        <v>Proyecto 3202.06 Fortalecimiento, gestión e implementación de medidas para el manejo de la fauna en el dpto. del Cesar</v>
      </c>
      <c r="I99" s="1068">
        <f>SUM(I100:I102)</f>
        <v>0</v>
      </c>
      <c r="J99" s="1068">
        <f t="shared" ref="J99:AL99" si="469">SUM(J100:J102)</f>
        <v>0</v>
      </c>
      <c r="K99" s="1068">
        <f t="shared" si="469"/>
        <v>0</v>
      </c>
      <c r="L99" s="1068">
        <f t="shared" si="469"/>
        <v>0</v>
      </c>
      <c r="M99" s="1068">
        <f t="shared" si="469"/>
        <v>0</v>
      </c>
      <c r="N99" s="1068">
        <f t="shared" si="469"/>
        <v>0</v>
      </c>
      <c r="O99" s="1068">
        <f t="shared" si="469"/>
        <v>0</v>
      </c>
      <c r="P99" s="1068">
        <f t="shared" si="469"/>
        <v>0</v>
      </c>
      <c r="Q99" s="1068">
        <f t="shared" si="469"/>
        <v>0</v>
      </c>
      <c r="R99" s="1068">
        <f t="shared" si="469"/>
        <v>0</v>
      </c>
      <c r="S99" s="1068">
        <f t="shared" si="469"/>
        <v>0</v>
      </c>
      <c r="T99" s="1068">
        <f t="shared" si="469"/>
        <v>0</v>
      </c>
      <c r="U99" s="1068">
        <f t="shared" si="469"/>
        <v>0</v>
      </c>
      <c r="V99" s="1068">
        <f t="shared" si="469"/>
        <v>0</v>
      </c>
      <c r="W99" s="1068">
        <f t="shared" si="469"/>
        <v>0</v>
      </c>
      <c r="X99" s="1068">
        <f t="shared" si="469"/>
        <v>0</v>
      </c>
      <c r="Y99" s="1068">
        <f t="shared" si="469"/>
        <v>0</v>
      </c>
      <c r="Z99" s="1068">
        <f t="shared" si="469"/>
        <v>0</v>
      </c>
      <c r="AA99" s="1068">
        <f t="shared" si="469"/>
        <v>0</v>
      </c>
      <c r="AB99" s="1068">
        <f t="shared" si="469"/>
        <v>0</v>
      </c>
      <c r="AC99" s="1068">
        <f t="shared" si="469"/>
        <v>0</v>
      </c>
      <c r="AD99" s="1068">
        <f t="shared" si="469"/>
        <v>0</v>
      </c>
      <c r="AE99" s="1068">
        <f t="shared" si="469"/>
        <v>0</v>
      </c>
      <c r="AF99" s="1068">
        <f t="shared" si="469"/>
        <v>0</v>
      </c>
      <c r="AG99" s="1068">
        <f t="shared" si="469"/>
        <v>0</v>
      </c>
      <c r="AH99" s="1068">
        <f t="shared" si="469"/>
        <v>0</v>
      </c>
      <c r="AI99" s="1068">
        <f t="shared" si="469"/>
        <v>0</v>
      </c>
      <c r="AJ99" s="1068">
        <f t="shared" si="469"/>
        <v>0</v>
      </c>
      <c r="AK99" s="1068">
        <f t="shared" si="469"/>
        <v>0</v>
      </c>
      <c r="AL99" s="1068">
        <f t="shared" si="469"/>
        <v>0</v>
      </c>
      <c r="AM99" s="1068">
        <f t="shared" ref="AM99" si="470">SUM(AM100:AM102)</f>
        <v>0</v>
      </c>
      <c r="AN99" s="1068">
        <f t="shared" ref="AN99" si="471">SUM(AN100:AN102)</f>
        <v>0</v>
      </c>
      <c r="AO99" s="1068">
        <f t="shared" ref="AO99" si="472">SUM(AO100:AO102)</f>
        <v>0</v>
      </c>
      <c r="AP99" s="1068">
        <f t="shared" ref="AP99" si="473">SUM(AP100:AP102)</f>
        <v>0</v>
      </c>
      <c r="AQ99" s="1068">
        <f t="shared" ref="AQ99" si="474">SUM(AQ100:AQ102)</f>
        <v>0</v>
      </c>
      <c r="AR99" s="1068">
        <f t="shared" ref="AR99" si="475">SUM(AR100:AR102)</f>
        <v>0</v>
      </c>
      <c r="AS99" s="1068">
        <f t="shared" ref="AS99" si="476">SUM(AS100:AS102)</f>
        <v>0</v>
      </c>
      <c r="AT99" s="1068">
        <f t="shared" ref="AT99" si="477">SUM(AT100:AT102)</f>
        <v>0</v>
      </c>
      <c r="AU99" s="1068">
        <f t="shared" ref="AU99" si="478">SUM(AU100:AU102)</f>
        <v>0</v>
      </c>
      <c r="AV99" s="1068">
        <f t="shared" ref="AV99" si="479">SUM(AV100:AV102)</f>
        <v>0</v>
      </c>
      <c r="AW99" s="1068">
        <f t="shared" ref="AW99" si="480">SUM(AW100:AW102)</f>
        <v>0</v>
      </c>
      <c r="AX99" s="1068">
        <f t="shared" ref="AX99" si="481">SUM(AX100:AX102)</f>
        <v>0</v>
      </c>
      <c r="AY99" s="1068">
        <f t="shared" ref="AY99" si="482">SUM(AY100:AY102)</f>
        <v>0</v>
      </c>
      <c r="AZ99" s="1068">
        <f t="shared" ref="AZ99" si="483">SUM(AZ100:AZ102)</f>
        <v>0</v>
      </c>
      <c r="BA99" s="1068">
        <f t="shared" ref="BA99" si="484">SUM(BA100:BA102)</f>
        <v>0</v>
      </c>
      <c r="BB99" s="1068">
        <f t="shared" ref="BB99" si="485">SUM(BB100:BB102)</f>
        <v>0</v>
      </c>
      <c r="BC99" s="1068">
        <f t="shared" ref="BC99" si="486">SUM(BC100:BC102)</f>
        <v>0</v>
      </c>
      <c r="BD99" s="1068">
        <f t="shared" ref="BD99" si="487">SUM(BD100:BD102)</f>
        <v>0</v>
      </c>
      <c r="BE99" s="1068">
        <f t="shared" ref="BE99" si="488">SUM(BE100:BE102)</f>
        <v>0</v>
      </c>
      <c r="BF99" s="1068">
        <f t="shared" ref="BF99" si="489">SUM(BF100:BF102)</f>
        <v>0</v>
      </c>
      <c r="BG99" s="1068">
        <f t="shared" ref="BG99" si="490">SUM(BG100:BG102)</f>
        <v>0</v>
      </c>
      <c r="BH99" s="1068">
        <f t="shared" ref="BH99" si="491">SUM(BH100:BH102)</f>
        <v>0</v>
      </c>
      <c r="BI99" s="1069">
        <f t="shared" si="373"/>
        <v>0</v>
      </c>
      <c r="BJ99" s="1069">
        <f t="shared" si="374"/>
        <v>0</v>
      </c>
      <c r="BK99" s="1069">
        <f t="shared" si="375"/>
        <v>0</v>
      </c>
      <c r="BL99" s="1069">
        <f t="shared" si="376"/>
        <v>0</v>
      </c>
      <c r="BM99" s="1070"/>
    </row>
    <row r="100" spans="1:65" ht="16.5" thickTop="1" thickBot="1">
      <c r="A100" s="509"/>
      <c r="B100" s="509"/>
      <c r="C100" s="511"/>
      <c r="D100" s="511"/>
      <c r="E100" s="510"/>
      <c r="F100" s="510"/>
      <c r="G100" s="509"/>
      <c r="H100" s="1071" t="str">
        <f>+'Anexo 1 Matriz Inf Gestión-GD'!A104</f>
        <v>3202.06.01 Evaluación y Optimización del proceso operativo del CAVRFFS</v>
      </c>
      <c r="I100" s="1072"/>
      <c r="J100" s="1072"/>
      <c r="K100" s="1072"/>
      <c r="L100" s="1072"/>
      <c r="M100" s="1072"/>
      <c r="N100" s="1072"/>
      <c r="O100" s="1072"/>
      <c r="P100" s="1072"/>
      <c r="Q100" s="1072"/>
      <c r="R100" s="1072"/>
      <c r="S100" s="1072"/>
      <c r="T100" s="1072"/>
      <c r="U100" s="1072"/>
      <c r="V100" s="1072"/>
      <c r="W100" s="1072"/>
      <c r="X100" s="1072"/>
      <c r="Y100" s="1072"/>
      <c r="Z100" s="1072"/>
      <c r="AA100" s="1072"/>
      <c r="AB100" s="1072"/>
      <c r="AC100" s="1072"/>
      <c r="AD100" s="1072"/>
      <c r="AE100" s="1072"/>
      <c r="AF100" s="1072"/>
      <c r="AG100" s="1072"/>
      <c r="AH100" s="1072"/>
      <c r="AI100" s="1072"/>
      <c r="AJ100" s="1072"/>
      <c r="AK100" s="1072"/>
      <c r="AL100" s="1072"/>
      <c r="AM100" s="1072"/>
      <c r="AN100" s="1072"/>
      <c r="AO100" s="1072"/>
      <c r="AP100" s="1072"/>
      <c r="AQ100" s="1072"/>
      <c r="AR100" s="1072"/>
      <c r="AS100" s="1072"/>
      <c r="AT100" s="1072"/>
      <c r="AU100" s="1072"/>
      <c r="AV100" s="1072"/>
      <c r="AW100" s="1072"/>
      <c r="AX100" s="1072"/>
      <c r="AY100" s="1072"/>
      <c r="AZ100" s="1072"/>
      <c r="BA100" s="1072"/>
      <c r="BB100" s="1072"/>
      <c r="BC100" s="1072"/>
      <c r="BD100" s="1072"/>
      <c r="BE100" s="1072"/>
      <c r="BF100" s="1072"/>
      <c r="BG100" s="1072"/>
      <c r="BH100" s="1072"/>
      <c r="BI100" s="1073">
        <f t="shared" si="373"/>
        <v>0</v>
      </c>
      <c r="BJ100" s="1073">
        <f t="shared" si="374"/>
        <v>0</v>
      </c>
      <c r="BK100" s="1073">
        <f t="shared" si="375"/>
        <v>0</v>
      </c>
      <c r="BL100" s="1073">
        <f t="shared" si="376"/>
        <v>0</v>
      </c>
      <c r="BM100" s="508"/>
    </row>
    <row r="101" spans="1:65" ht="27" thickTop="1" thickBot="1">
      <c r="A101" s="509"/>
      <c r="B101" s="509"/>
      <c r="C101" s="511"/>
      <c r="D101" s="511"/>
      <c r="E101" s="510"/>
      <c r="F101" s="510"/>
      <c r="G101" s="509"/>
      <c r="H101" s="1071" t="str">
        <f>+'Anexo 1 Matriz Inf Gestión-GD'!A105</f>
        <v>3202.06.02 Implementación de acciones de los planes de manejo de la fauna amenazada</v>
      </c>
      <c r="I101" s="1072"/>
      <c r="J101" s="1072"/>
      <c r="K101" s="1072"/>
      <c r="L101" s="1072"/>
      <c r="M101" s="1072"/>
      <c r="N101" s="1072"/>
      <c r="O101" s="1072"/>
      <c r="P101" s="1072"/>
      <c r="Q101" s="1072"/>
      <c r="R101" s="1072"/>
      <c r="S101" s="1072"/>
      <c r="T101" s="1072"/>
      <c r="U101" s="1072"/>
      <c r="V101" s="1072"/>
      <c r="W101" s="1072"/>
      <c r="X101" s="1072"/>
      <c r="Y101" s="1072"/>
      <c r="Z101" s="1072"/>
      <c r="AA101" s="1072"/>
      <c r="AB101" s="1072"/>
      <c r="AC101" s="1072"/>
      <c r="AD101" s="1072"/>
      <c r="AE101" s="1072"/>
      <c r="AF101" s="1072"/>
      <c r="AG101" s="1072"/>
      <c r="AH101" s="1072"/>
      <c r="AI101" s="1072"/>
      <c r="AJ101" s="1072"/>
      <c r="AK101" s="1072"/>
      <c r="AL101" s="1072"/>
      <c r="AM101" s="1072"/>
      <c r="AN101" s="1072"/>
      <c r="AO101" s="1072"/>
      <c r="AP101" s="1072"/>
      <c r="AQ101" s="1072"/>
      <c r="AR101" s="1072"/>
      <c r="AS101" s="1072"/>
      <c r="AT101" s="1072"/>
      <c r="AU101" s="1072"/>
      <c r="AV101" s="1072"/>
      <c r="AW101" s="1072"/>
      <c r="AX101" s="1072"/>
      <c r="AY101" s="1072"/>
      <c r="AZ101" s="1072"/>
      <c r="BA101" s="1072"/>
      <c r="BB101" s="1072"/>
      <c r="BC101" s="1072"/>
      <c r="BD101" s="1072"/>
      <c r="BE101" s="1072"/>
      <c r="BF101" s="1072"/>
      <c r="BG101" s="1072"/>
      <c r="BH101" s="1072"/>
      <c r="BI101" s="1073">
        <f t="shared" si="373"/>
        <v>0</v>
      </c>
      <c r="BJ101" s="1073">
        <f t="shared" si="374"/>
        <v>0</v>
      </c>
      <c r="BK101" s="1073">
        <f t="shared" si="375"/>
        <v>0</v>
      </c>
      <c r="BL101" s="1073">
        <f t="shared" si="376"/>
        <v>0</v>
      </c>
      <c r="BM101" s="508"/>
    </row>
    <row r="102" spans="1:65" s="1093" customFormat="1" ht="27" thickTop="1" thickBot="1">
      <c r="A102" s="513"/>
      <c r="B102" s="513"/>
      <c r="C102" s="513"/>
      <c r="D102" s="513"/>
      <c r="E102" s="1100"/>
      <c r="F102" s="1100"/>
      <c r="G102" s="1101"/>
      <c r="H102" s="1090" t="str">
        <f>+'Anexo 1 Matriz Inf Gestión-GD'!A106</f>
        <v>3202.06.03 Revisión, evaluación, ajuste e implementación de acciones de PM de especies invasoras (en armonía con objetivos del COTSA).</v>
      </c>
      <c r="I102" s="1091"/>
      <c r="J102" s="1091"/>
      <c r="K102" s="1091"/>
      <c r="L102" s="1091"/>
      <c r="M102" s="1091"/>
      <c r="N102" s="1091"/>
      <c r="O102" s="1091"/>
      <c r="P102" s="1091"/>
      <c r="Q102" s="1091"/>
      <c r="R102" s="1091"/>
      <c r="S102" s="1091"/>
      <c r="T102" s="1091"/>
      <c r="U102" s="1091"/>
      <c r="V102" s="1091"/>
      <c r="W102" s="1091"/>
      <c r="X102" s="1091"/>
      <c r="Y102" s="1091"/>
      <c r="Z102" s="1091"/>
      <c r="AA102" s="1091"/>
      <c r="AB102" s="1091"/>
      <c r="AC102" s="1091"/>
      <c r="AD102" s="1091"/>
      <c r="AE102" s="1091"/>
      <c r="AF102" s="1091"/>
      <c r="AG102" s="1091"/>
      <c r="AH102" s="1091"/>
      <c r="AI102" s="1091"/>
      <c r="AJ102" s="1091"/>
      <c r="AK102" s="1091"/>
      <c r="AL102" s="1091"/>
      <c r="AM102" s="1091"/>
      <c r="AN102" s="1091"/>
      <c r="AO102" s="1091"/>
      <c r="AP102" s="1091"/>
      <c r="AQ102" s="1091"/>
      <c r="AR102" s="1091"/>
      <c r="AS102" s="1091"/>
      <c r="AT102" s="1091"/>
      <c r="AU102" s="1091"/>
      <c r="AV102" s="1091"/>
      <c r="AW102" s="1091"/>
      <c r="AX102" s="1091"/>
      <c r="AY102" s="1091"/>
      <c r="AZ102" s="1091"/>
      <c r="BA102" s="1091"/>
      <c r="BB102" s="1091"/>
      <c r="BC102" s="1091"/>
      <c r="BD102" s="1091"/>
      <c r="BE102" s="1091"/>
      <c r="BF102" s="1091"/>
      <c r="BG102" s="1091"/>
      <c r="BH102" s="1091"/>
      <c r="BI102" s="1092">
        <f t="shared" si="373"/>
        <v>0</v>
      </c>
      <c r="BJ102" s="1092">
        <f t="shared" si="374"/>
        <v>0</v>
      </c>
      <c r="BK102" s="1092">
        <f t="shared" si="375"/>
        <v>0</v>
      </c>
      <c r="BL102" s="1092">
        <f t="shared" si="376"/>
        <v>0</v>
      </c>
      <c r="BM102" s="1089"/>
    </row>
    <row r="103" spans="1:65" ht="16.5" thickTop="1" thickBot="1">
      <c r="A103" s="1060"/>
      <c r="B103" s="1061"/>
      <c r="C103" s="1061"/>
      <c r="D103" s="1061"/>
      <c r="E103" s="1060"/>
      <c r="F103" s="1060"/>
      <c r="G103" s="1060"/>
      <c r="H103" s="1062" t="str">
        <f>+'Anexo 1 Matriz Inf Gestión-GD'!A107</f>
        <v>PROGRAMA 3203. GESTIÓN INTEGRAL DEL RECURSO HÍDRICO</v>
      </c>
      <c r="I103" s="1063">
        <f>+I104</f>
        <v>0</v>
      </c>
      <c r="J103" s="1063">
        <f t="shared" ref="J103:AL103" si="492">+J104</f>
        <v>0</v>
      </c>
      <c r="K103" s="1063">
        <f t="shared" si="492"/>
        <v>0</v>
      </c>
      <c r="L103" s="1063">
        <f t="shared" si="492"/>
        <v>0</v>
      </c>
      <c r="M103" s="1063">
        <f t="shared" si="492"/>
        <v>0</v>
      </c>
      <c r="N103" s="1063">
        <f t="shared" si="492"/>
        <v>0</v>
      </c>
      <c r="O103" s="1063">
        <f t="shared" si="492"/>
        <v>0</v>
      </c>
      <c r="P103" s="1063">
        <f t="shared" si="492"/>
        <v>0</v>
      </c>
      <c r="Q103" s="1063">
        <f t="shared" si="492"/>
        <v>0</v>
      </c>
      <c r="R103" s="1063">
        <f t="shared" si="492"/>
        <v>0</v>
      </c>
      <c r="S103" s="1063">
        <f t="shared" si="492"/>
        <v>0</v>
      </c>
      <c r="T103" s="1063">
        <f t="shared" si="492"/>
        <v>0</v>
      </c>
      <c r="U103" s="1063">
        <f t="shared" si="492"/>
        <v>0</v>
      </c>
      <c r="V103" s="1063">
        <f t="shared" si="492"/>
        <v>0</v>
      </c>
      <c r="W103" s="1063">
        <f t="shared" si="492"/>
        <v>0</v>
      </c>
      <c r="X103" s="1063">
        <f t="shared" si="492"/>
        <v>0</v>
      </c>
      <c r="Y103" s="1063">
        <f t="shared" si="492"/>
        <v>0</v>
      </c>
      <c r="Z103" s="1063">
        <f t="shared" si="492"/>
        <v>0</v>
      </c>
      <c r="AA103" s="1063">
        <f t="shared" si="492"/>
        <v>0</v>
      </c>
      <c r="AB103" s="1063">
        <f t="shared" si="492"/>
        <v>0</v>
      </c>
      <c r="AC103" s="1063">
        <f t="shared" si="492"/>
        <v>0</v>
      </c>
      <c r="AD103" s="1063">
        <f t="shared" si="492"/>
        <v>0</v>
      </c>
      <c r="AE103" s="1063">
        <f t="shared" si="492"/>
        <v>0</v>
      </c>
      <c r="AF103" s="1063">
        <f t="shared" si="492"/>
        <v>0</v>
      </c>
      <c r="AG103" s="1063">
        <f t="shared" si="492"/>
        <v>0</v>
      </c>
      <c r="AH103" s="1063">
        <f t="shared" si="492"/>
        <v>0</v>
      </c>
      <c r="AI103" s="1063">
        <f t="shared" si="492"/>
        <v>0</v>
      </c>
      <c r="AJ103" s="1063">
        <f t="shared" si="492"/>
        <v>0</v>
      </c>
      <c r="AK103" s="1063">
        <f t="shared" si="492"/>
        <v>0</v>
      </c>
      <c r="AL103" s="1063">
        <f t="shared" si="492"/>
        <v>0</v>
      </c>
      <c r="AM103" s="1063">
        <f t="shared" ref="AM103" si="493">+AM104</f>
        <v>0</v>
      </c>
      <c r="AN103" s="1063">
        <f t="shared" ref="AN103" si="494">+AN104</f>
        <v>0</v>
      </c>
      <c r="AO103" s="1063">
        <f t="shared" ref="AO103" si="495">+AO104</f>
        <v>0</v>
      </c>
      <c r="AP103" s="1063">
        <f t="shared" ref="AP103" si="496">+AP104</f>
        <v>0</v>
      </c>
      <c r="AQ103" s="1063">
        <f t="shared" ref="AQ103" si="497">+AQ104</f>
        <v>0</v>
      </c>
      <c r="AR103" s="1063">
        <f t="shared" ref="AR103" si="498">+AR104</f>
        <v>0</v>
      </c>
      <c r="AS103" s="1063">
        <f t="shared" ref="AS103" si="499">+AS104</f>
        <v>0</v>
      </c>
      <c r="AT103" s="1063">
        <f t="shared" ref="AT103" si="500">+AT104</f>
        <v>0</v>
      </c>
      <c r="AU103" s="1063">
        <f t="shared" ref="AU103" si="501">+AU104</f>
        <v>0</v>
      </c>
      <c r="AV103" s="1063">
        <f t="shared" ref="AV103" si="502">+AV104</f>
        <v>0</v>
      </c>
      <c r="AW103" s="1063">
        <f t="shared" ref="AW103" si="503">+AW104</f>
        <v>0</v>
      </c>
      <c r="AX103" s="1063">
        <f t="shared" ref="AX103" si="504">+AX104</f>
        <v>0</v>
      </c>
      <c r="AY103" s="1063">
        <f t="shared" ref="AY103" si="505">+AY104</f>
        <v>0</v>
      </c>
      <c r="AZ103" s="1063">
        <f t="shared" ref="AZ103" si="506">+AZ104</f>
        <v>0</v>
      </c>
      <c r="BA103" s="1063">
        <f t="shared" ref="BA103" si="507">+BA104</f>
        <v>0</v>
      </c>
      <c r="BB103" s="1063">
        <f t="shared" ref="BB103" si="508">+BB104</f>
        <v>0</v>
      </c>
      <c r="BC103" s="1063">
        <f t="shared" ref="BC103" si="509">+BC104</f>
        <v>0</v>
      </c>
      <c r="BD103" s="1063">
        <f t="shared" ref="BD103" si="510">+BD104</f>
        <v>0</v>
      </c>
      <c r="BE103" s="1063">
        <f t="shared" ref="BE103" si="511">+BE104</f>
        <v>0</v>
      </c>
      <c r="BF103" s="1063">
        <f t="shared" ref="BF103" si="512">+BF104</f>
        <v>0</v>
      </c>
      <c r="BG103" s="1063">
        <f t="shared" ref="BG103" si="513">+BG104</f>
        <v>0</v>
      </c>
      <c r="BH103" s="1063">
        <f t="shared" ref="BH103" si="514">+BH104</f>
        <v>0</v>
      </c>
      <c r="BI103" s="1064">
        <f t="shared" si="373"/>
        <v>0</v>
      </c>
      <c r="BJ103" s="1064">
        <f t="shared" si="374"/>
        <v>0</v>
      </c>
      <c r="BK103" s="1064">
        <f t="shared" si="375"/>
        <v>0</v>
      </c>
      <c r="BL103" s="1064">
        <f t="shared" si="376"/>
        <v>0</v>
      </c>
      <c r="BM103" s="1065"/>
    </row>
    <row r="104" spans="1:65" ht="27" thickTop="1" thickBot="1">
      <c r="A104" s="1066"/>
      <c r="B104" s="1066"/>
      <c r="C104" s="1066"/>
      <c r="D104" s="1082"/>
      <c r="E104" s="1077"/>
      <c r="F104" s="1077"/>
      <c r="G104" s="1078"/>
      <c r="H104" s="1067" t="str">
        <f>+'Anexo 1 Matriz Inf Gestión-GD'!A108</f>
        <v>Proyecto 3203.01 Gestión integral del recurso hídrico y materialización de la ZOAT en el area de jurisdiccion de Corpocesar</v>
      </c>
      <c r="I104" s="1068">
        <f>SUM(I105:I119)</f>
        <v>0</v>
      </c>
      <c r="J104" s="1068">
        <f t="shared" ref="J104:AL104" si="515">SUM(J105:J119)</f>
        <v>0</v>
      </c>
      <c r="K104" s="1068">
        <f t="shared" si="515"/>
        <v>0</v>
      </c>
      <c r="L104" s="1068">
        <f t="shared" si="515"/>
        <v>0</v>
      </c>
      <c r="M104" s="1068">
        <f t="shared" si="515"/>
        <v>0</v>
      </c>
      <c r="N104" s="1068">
        <f t="shared" si="515"/>
        <v>0</v>
      </c>
      <c r="O104" s="1068">
        <f t="shared" si="515"/>
        <v>0</v>
      </c>
      <c r="P104" s="1068">
        <f t="shared" si="515"/>
        <v>0</v>
      </c>
      <c r="Q104" s="1068">
        <f t="shared" si="515"/>
        <v>0</v>
      </c>
      <c r="R104" s="1068">
        <f t="shared" si="515"/>
        <v>0</v>
      </c>
      <c r="S104" s="1068">
        <f t="shared" si="515"/>
        <v>0</v>
      </c>
      <c r="T104" s="1068">
        <f t="shared" si="515"/>
        <v>0</v>
      </c>
      <c r="U104" s="1068">
        <f t="shared" si="515"/>
        <v>0</v>
      </c>
      <c r="V104" s="1068">
        <f t="shared" si="515"/>
        <v>0</v>
      </c>
      <c r="W104" s="1068">
        <f t="shared" si="515"/>
        <v>0</v>
      </c>
      <c r="X104" s="1068">
        <f t="shared" si="515"/>
        <v>0</v>
      </c>
      <c r="Y104" s="1068">
        <f t="shared" si="515"/>
        <v>0</v>
      </c>
      <c r="Z104" s="1068">
        <f t="shared" si="515"/>
        <v>0</v>
      </c>
      <c r="AA104" s="1068">
        <f t="shared" si="515"/>
        <v>0</v>
      </c>
      <c r="AB104" s="1068">
        <f t="shared" si="515"/>
        <v>0</v>
      </c>
      <c r="AC104" s="1068">
        <f t="shared" si="515"/>
        <v>0</v>
      </c>
      <c r="AD104" s="1068">
        <f t="shared" si="515"/>
        <v>0</v>
      </c>
      <c r="AE104" s="1068">
        <f t="shared" si="515"/>
        <v>0</v>
      </c>
      <c r="AF104" s="1068">
        <f t="shared" si="515"/>
        <v>0</v>
      </c>
      <c r="AG104" s="1068">
        <f t="shared" si="515"/>
        <v>0</v>
      </c>
      <c r="AH104" s="1068">
        <f t="shared" si="515"/>
        <v>0</v>
      </c>
      <c r="AI104" s="1068">
        <f t="shared" si="515"/>
        <v>0</v>
      </c>
      <c r="AJ104" s="1068">
        <f t="shared" si="515"/>
        <v>0</v>
      </c>
      <c r="AK104" s="1068">
        <f t="shared" si="515"/>
        <v>0</v>
      </c>
      <c r="AL104" s="1068">
        <f t="shared" si="515"/>
        <v>0</v>
      </c>
      <c r="AM104" s="1068">
        <f t="shared" ref="AM104" si="516">SUM(AM105:AM119)</f>
        <v>0</v>
      </c>
      <c r="AN104" s="1068">
        <f t="shared" ref="AN104" si="517">SUM(AN105:AN119)</f>
        <v>0</v>
      </c>
      <c r="AO104" s="1068">
        <f t="shared" ref="AO104" si="518">SUM(AO105:AO119)</f>
        <v>0</v>
      </c>
      <c r="AP104" s="1068">
        <f t="shared" ref="AP104" si="519">SUM(AP105:AP119)</f>
        <v>0</v>
      </c>
      <c r="AQ104" s="1068">
        <f t="shared" ref="AQ104" si="520">SUM(AQ105:AQ119)</f>
        <v>0</v>
      </c>
      <c r="AR104" s="1068">
        <f t="shared" ref="AR104" si="521">SUM(AR105:AR119)</f>
        <v>0</v>
      </c>
      <c r="AS104" s="1068">
        <f t="shared" ref="AS104" si="522">SUM(AS105:AS119)</f>
        <v>0</v>
      </c>
      <c r="AT104" s="1068">
        <f t="shared" ref="AT104" si="523">SUM(AT105:AT119)</f>
        <v>0</v>
      </c>
      <c r="AU104" s="1068">
        <f t="shared" ref="AU104" si="524">SUM(AU105:AU119)</f>
        <v>0</v>
      </c>
      <c r="AV104" s="1068">
        <f t="shared" ref="AV104" si="525">SUM(AV105:AV119)</f>
        <v>0</v>
      </c>
      <c r="AW104" s="1068">
        <f t="shared" ref="AW104" si="526">SUM(AW105:AW119)</f>
        <v>0</v>
      </c>
      <c r="AX104" s="1068">
        <f t="shared" ref="AX104" si="527">SUM(AX105:AX119)</f>
        <v>0</v>
      </c>
      <c r="AY104" s="1068">
        <f t="shared" ref="AY104" si="528">SUM(AY105:AY119)</f>
        <v>0</v>
      </c>
      <c r="AZ104" s="1068">
        <f t="shared" ref="AZ104" si="529">SUM(AZ105:AZ119)</f>
        <v>0</v>
      </c>
      <c r="BA104" s="1068">
        <f t="shared" ref="BA104" si="530">SUM(BA105:BA119)</f>
        <v>0</v>
      </c>
      <c r="BB104" s="1068">
        <f t="shared" ref="BB104" si="531">SUM(BB105:BB119)</f>
        <v>0</v>
      </c>
      <c r="BC104" s="1068">
        <f t="shared" ref="BC104" si="532">SUM(BC105:BC119)</f>
        <v>0</v>
      </c>
      <c r="BD104" s="1068">
        <f t="shared" ref="BD104" si="533">SUM(BD105:BD119)</f>
        <v>0</v>
      </c>
      <c r="BE104" s="1068">
        <f t="shared" ref="BE104" si="534">SUM(BE105:BE119)</f>
        <v>0</v>
      </c>
      <c r="BF104" s="1068">
        <f t="shared" ref="BF104" si="535">SUM(BF105:BF119)</f>
        <v>0</v>
      </c>
      <c r="BG104" s="1068">
        <f t="shared" ref="BG104" si="536">SUM(BG105:BG119)</f>
        <v>0</v>
      </c>
      <c r="BH104" s="1068">
        <f t="shared" ref="BH104" si="537">SUM(BH105:BH119)</f>
        <v>0</v>
      </c>
      <c r="BI104" s="1069">
        <f t="shared" si="373"/>
        <v>0</v>
      </c>
      <c r="BJ104" s="1069">
        <f t="shared" si="374"/>
        <v>0</v>
      </c>
      <c r="BK104" s="1069">
        <f t="shared" si="375"/>
        <v>0</v>
      </c>
      <c r="BL104" s="1069">
        <f t="shared" si="376"/>
        <v>0</v>
      </c>
      <c r="BM104" s="1070"/>
    </row>
    <row r="105" spans="1:65" ht="27" thickTop="1" thickBot="1">
      <c r="A105" s="509"/>
      <c r="B105" s="509"/>
      <c r="C105" s="511"/>
      <c r="D105" s="511"/>
      <c r="E105" s="510"/>
      <c r="F105" s="510"/>
      <c r="G105" s="509"/>
      <c r="H105" s="1071" t="str">
        <f>+'Anexo 1 Matriz Inf Gestión-GD'!A109</f>
        <v>3203.01.01 Desarrollo de instrumentos de planificación y administración del recurso hídrico (desarrollo de nuevas fases de POMCAS)</v>
      </c>
      <c r="I105" s="1072"/>
      <c r="J105" s="1072"/>
      <c r="K105" s="1072"/>
      <c r="L105" s="1072"/>
      <c r="M105" s="1072"/>
      <c r="N105" s="1072"/>
      <c r="O105" s="1072"/>
      <c r="P105" s="1072"/>
      <c r="Q105" s="1072"/>
      <c r="R105" s="1072"/>
      <c r="S105" s="1072"/>
      <c r="T105" s="1072"/>
      <c r="U105" s="1072"/>
      <c r="V105" s="1072"/>
      <c r="W105" s="1072"/>
      <c r="X105" s="1072"/>
      <c r="Y105" s="1072"/>
      <c r="Z105" s="1072"/>
      <c r="AA105" s="1072"/>
      <c r="AB105" s="1072"/>
      <c r="AC105" s="1072"/>
      <c r="AD105" s="1072"/>
      <c r="AE105" s="1072"/>
      <c r="AF105" s="1072"/>
      <c r="AG105" s="1072"/>
      <c r="AH105" s="1072"/>
      <c r="AI105" s="1072"/>
      <c r="AJ105" s="1072"/>
      <c r="AK105" s="1072"/>
      <c r="AL105" s="1072"/>
      <c r="AM105" s="1072"/>
      <c r="AN105" s="1072"/>
      <c r="AO105" s="1072"/>
      <c r="AP105" s="1072"/>
      <c r="AQ105" s="1072"/>
      <c r="AR105" s="1072"/>
      <c r="AS105" s="1072"/>
      <c r="AT105" s="1072"/>
      <c r="AU105" s="1072"/>
      <c r="AV105" s="1072"/>
      <c r="AW105" s="1072"/>
      <c r="AX105" s="1072"/>
      <c r="AY105" s="1072"/>
      <c r="AZ105" s="1072"/>
      <c r="BA105" s="1072"/>
      <c r="BB105" s="1072"/>
      <c r="BC105" s="1072"/>
      <c r="BD105" s="1072"/>
      <c r="BE105" s="1072"/>
      <c r="BF105" s="1072"/>
      <c r="BG105" s="1072"/>
      <c r="BH105" s="1072"/>
      <c r="BI105" s="1073">
        <f t="shared" si="373"/>
        <v>0</v>
      </c>
      <c r="BJ105" s="1073">
        <f t="shared" si="374"/>
        <v>0</v>
      </c>
      <c r="BK105" s="1073">
        <f t="shared" si="375"/>
        <v>0</v>
      </c>
      <c r="BL105" s="1073">
        <f t="shared" si="376"/>
        <v>0</v>
      </c>
      <c r="BM105" s="508"/>
    </row>
    <row r="106" spans="1:65" ht="27" thickTop="1" thickBot="1">
      <c r="A106" s="509"/>
      <c r="B106" s="509"/>
      <c r="C106" s="511"/>
      <c r="D106" s="511"/>
      <c r="E106" s="510"/>
      <c r="F106" s="510"/>
      <c r="G106" s="509"/>
      <c r="H106" s="1071" t="str">
        <f>+'Anexo 1 Matriz Inf Gestión-GD'!A110</f>
        <v xml:space="preserve"> 3203.01.02. Desarrollo de instrumentos de planificación y administración del recurso hídrico (Implementación de acciones de POMCA)</v>
      </c>
      <c r="I106" s="1072"/>
      <c r="J106" s="1072"/>
      <c r="K106" s="1072"/>
      <c r="L106" s="1072"/>
      <c r="M106" s="1072"/>
      <c r="N106" s="1072"/>
      <c r="O106" s="1072"/>
      <c r="P106" s="1072"/>
      <c r="Q106" s="1072"/>
      <c r="R106" s="1072"/>
      <c r="S106" s="1072"/>
      <c r="T106" s="1072"/>
      <c r="U106" s="1072"/>
      <c r="V106" s="1072"/>
      <c r="W106" s="1072"/>
      <c r="X106" s="1072"/>
      <c r="Y106" s="1072"/>
      <c r="Z106" s="1072"/>
      <c r="AA106" s="1072"/>
      <c r="AB106" s="1072"/>
      <c r="AC106" s="1072"/>
      <c r="AD106" s="1072"/>
      <c r="AE106" s="1072"/>
      <c r="AF106" s="1072"/>
      <c r="AG106" s="1072"/>
      <c r="AH106" s="1072"/>
      <c r="AI106" s="1072"/>
      <c r="AJ106" s="1072"/>
      <c r="AK106" s="1072"/>
      <c r="AL106" s="1072"/>
      <c r="AM106" s="1072"/>
      <c r="AN106" s="1072"/>
      <c r="AO106" s="1072"/>
      <c r="AP106" s="1072"/>
      <c r="AQ106" s="1072"/>
      <c r="AR106" s="1072"/>
      <c r="AS106" s="1072"/>
      <c r="AT106" s="1072"/>
      <c r="AU106" s="1072"/>
      <c r="AV106" s="1072"/>
      <c r="AW106" s="1072"/>
      <c r="AX106" s="1072"/>
      <c r="AY106" s="1072"/>
      <c r="AZ106" s="1072"/>
      <c r="BA106" s="1072"/>
      <c r="BB106" s="1072"/>
      <c r="BC106" s="1072"/>
      <c r="BD106" s="1072"/>
      <c r="BE106" s="1072"/>
      <c r="BF106" s="1072"/>
      <c r="BG106" s="1072"/>
      <c r="BH106" s="1072"/>
      <c r="BI106" s="1073">
        <f t="shared" si="373"/>
        <v>0</v>
      </c>
      <c r="BJ106" s="1073">
        <f t="shared" si="374"/>
        <v>0</v>
      </c>
      <c r="BK106" s="1073">
        <f t="shared" si="375"/>
        <v>0</v>
      </c>
      <c r="BL106" s="1073">
        <f t="shared" si="376"/>
        <v>0</v>
      </c>
      <c r="BM106" s="508"/>
    </row>
    <row r="107" spans="1:65" ht="27" thickTop="1" thickBot="1">
      <c r="A107" s="509"/>
      <c r="B107" s="509"/>
      <c r="C107" s="511"/>
      <c r="D107" s="511"/>
      <c r="E107" s="510"/>
      <c r="F107" s="510"/>
      <c r="G107" s="509"/>
      <c r="H107" s="1071" t="str">
        <f>+'Anexo 1 Matriz Inf Gestión-GD'!A111</f>
        <v>3203.01.03. Desarrollo de instrumentos de planificación y administración del recurso hídrico (seguimiento y evaluación de POMCA)</v>
      </c>
      <c r="I107" s="1072"/>
      <c r="J107" s="1072"/>
      <c r="K107" s="1072"/>
      <c r="L107" s="1072"/>
      <c r="M107" s="1072"/>
      <c r="N107" s="1072"/>
      <c r="O107" s="1072"/>
      <c r="P107" s="1072"/>
      <c r="Q107" s="1072"/>
      <c r="R107" s="1072"/>
      <c r="S107" s="1072"/>
      <c r="T107" s="1072"/>
      <c r="U107" s="1072"/>
      <c r="V107" s="1072"/>
      <c r="W107" s="1072"/>
      <c r="X107" s="1072"/>
      <c r="Y107" s="1072"/>
      <c r="Z107" s="1072"/>
      <c r="AA107" s="1072"/>
      <c r="AB107" s="1072"/>
      <c r="AC107" s="1072"/>
      <c r="AD107" s="1072"/>
      <c r="AE107" s="1072"/>
      <c r="AF107" s="1072"/>
      <c r="AG107" s="1072"/>
      <c r="AH107" s="1072"/>
      <c r="AI107" s="1072"/>
      <c r="AJ107" s="1072"/>
      <c r="AK107" s="1072"/>
      <c r="AL107" s="1072"/>
      <c r="AM107" s="1072"/>
      <c r="AN107" s="1072"/>
      <c r="AO107" s="1072"/>
      <c r="AP107" s="1072"/>
      <c r="AQ107" s="1072"/>
      <c r="AR107" s="1072"/>
      <c r="AS107" s="1072"/>
      <c r="AT107" s="1072"/>
      <c r="AU107" s="1072"/>
      <c r="AV107" s="1072"/>
      <c r="AW107" s="1072"/>
      <c r="AX107" s="1072"/>
      <c r="AY107" s="1072"/>
      <c r="AZ107" s="1072"/>
      <c r="BA107" s="1072"/>
      <c r="BB107" s="1072"/>
      <c r="BC107" s="1072"/>
      <c r="BD107" s="1072"/>
      <c r="BE107" s="1072"/>
      <c r="BF107" s="1072"/>
      <c r="BG107" s="1072"/>
      <c r="BH107" s="1072"/>
      <c r="BI107" s="1073">
        <f t="shared" si="373"/>
        <v>0</v>
      </c>
      <c r="BJ107" s="1073">
        <f t="shared" si="374"/>
        <v>0</v>
      </c>
      <c r="BK107" s="1073">
        <f t="shared" si="375"/>
        <v>0</v>
      </c>
      <c r="BL107" s="1073">
        <f t="shared" si="376"/>
        <v>0</v>
      </c>
      <c r="BM107" s="508"/>
    </row>
    <row r="108" spans="1:65" ht="27" thickTop="1" thickBot="1">
      <c r="A108" s="509"/>
      <c r="B108" s="509"/>
      <c r="C108" s="511"/>
      <c r="D108" s="511"/>
      <c r="E108" s="510"/>
      <c r="F108" s="510"/>
      <c r="G108" s="509"/>
      <c r="H108" s="1071" t="str">
        <f>+'Anexo 1 Matriz Inf Gestión-GD'!A112</f>
        <v>3203.01.04. Desarrollo de instrumentos de planificación y administración del recurso hídrico (desarrollo de nuevas fases de los PMA de microcuencas)</v>
      </c>
      <c r="I108" s="1072"/>
      <c r="J108" s="1072"/>
      <c r="K108" s="1072"/>
      <c r="L108" s="1072"/>
      <c r="M108" s="1072"/>
      <c r="N108" s="1072"/>
      <c r="O108" s="1072"/>
      <c r="P108" s="1072"/>
      <c r="Q108" s="1072"/>
      <c r="R108" s="1072"/>
      <c r="S108" s="1072"/>
      <c r="T108" s="1072"/>
      <c r="U108" s="1072"/>
      <c r="V108" s="1072"/>
      <c r="W108" s="1072"/>
      <c r="X108" s="1072"/>
      <c r="Y108" s="1072"/>
      <c r="Z108" s="1072"/>
      <c r="AA108" s="1072"/>
      <c r="AB108" s="1072"/>
      <c r="AC108" s="1072"/>
      <c r="AD108" s="1072"/>
      <c r="AE108" s="1072"/>
      <c r="AF108" s="1072"/>
      <c r="AG108" s="1072"/>
      <c r="AH108" s="1072"/>
      <c r="AI108" s="1072"/>
      <c r="AJ108" s="1072"/>
      <c r="AK108" s="1072"/>
      <c r="AL108" s="1072"/>
      <c r="AM108" s="1072"/>
      <c r="AN108" s="1072"/>
      <c r="AO108" s="1072"/>
      <c r="AP108" s="1072"/>
      <c r="AQ108" s="1072"/>
      <c r="AR108" s="1072"/>
      <c r="AS108" s="1072"/>
      <c r="AT108" s="1072"/>
      <c r="AU108" s="1072"/>
      <c r="AV108" s="1072"/>
      <c r="AW108" s="1072"/>
      <c r="AX108" s="1072"/>
      <c r="AY108" s="1072"/>
      <c r="AZ108" s="1072"/>
      <c r="BA108" s="1072"/>
      <c r="BB108" s="1072"/>
      <c r="BC108" s="1072"/>
      <c r="BD108" s="1072"/>
      <c r="BE108" s="1072"/>
      <c r="BF108" s="1072"/>
      <c r="BG108" s="1072"/>
      <c r="BH108" s="1072"/>
      <c r="BI108" s="1073">
        <f t="shared" si="373"/>
        <v>0</v>
      </c>
      <c r="BJ108" s="1073">
        <f t="shared" si="374"/>
        <v>0</v>
      </c>
      <c r="BK108" s="1073">
        <f t="shared" si="375"/>
        <v>0</v>
      </c>
      <c r="BL108" s="1073">
        <f t="shared" si="376"/>
        <v>0</v>
      </c>
      <c r="BM108" s="508"/>
    </row>
    <row r="109" spans="1:65" ht="27" thickTop="1" thickBot="1">
      <c r="A109" s="509"/>
      <c r="B109" s="509"/>
      <c r="C109" s="511"/>
      <c r="D109" s="511"/>
      <c r="E109" s="510"/>
      <c r="F109" s="510"/>
      <c r="G109" s="509"/>
      <c r="H109" s="1071" t="str">
        <f>+'Anexo 1 Matriz Inf Gestión-GD'!A113</f>
        <v>3203.01.05. Desarrollo de instrumentos de planificación y administración del recurso hídrico (Implementación de acciones de PMA de microcuencas)</v>
      </c>
      <c r="I109" s="1072"/>
      <c r="J109" s="1072"/>
      <c r="K109" s="1072"/>
      <c r="L109" s="1072"/>
      <c r="M109" s="1072"/>
      <c r="N109" s="1072"/>
      <c r="O109" s="1072"/>
      <c r="P109" s="1072"/>
      <c r="Q109" s="1072"/>
      <c r="R109" s="1072"/>
      <c r="S109" s="1072"/>
      <c r="T109" s="1072"/>
      <c r="U109" s="1072"/>
      <c r="V109" s="1072"/>
      <c r="W109" s="1072"/>
      <c r="X109" s="1072"/>
      <c r="Y109" s="1072"/>
      <c r="Z109" s="1072"/>
      <c r="AA109" s="1072"/>
      <c r="AB109" s="1072"/>
      <c r="AC109" s="1072"/>
      <c r="AD109" s="1072"/>
      <c r="AE109" s="1072"/>
      <c r="AF109" s="1072"/>
      <c r="AG109" s="1072"/>
      <c r="AH109" s="1072"/>
      <c r="AI109" s="1072"/>
      <c r="AJ109" s="1072"/>
      <c r="AK109" s="1072"/>
      <c r="AL109" s="1072"/>
      <c r="AM109" s="1072"/>
      <c r="AN109" s="1072"/>
      <c r="AO109" s="1072"/>
      <c r="AP109" s="1072"/>
      <c r="AQ109" s="1072"/>
      <c r="AR109" s="1072"/>
      <c r="AS109" s="1072"/>
      <c r="AT109" s="1072"/>
      <c r="AU109" s="1072"/>
      <c r="AV109" s="1072"/>
      <c r="AW109" s="1072"/>
      <c r="AX109" s="1072"/>
      <c r="AY109" s="1072"/>
      <c r="AZ109" s="1072"/>
      <c r="BA109" s="1072"/>
      <c r="BB109" s="1072"/>
      <c r="BC109" s="1072"/>
      <c r="BD109" s="1072"/>
      <c r="BE109" s="1072"/>
      <c r="BF109" s="1072"/>
      <c r="BG109" s="1072"/>
      <c r="BH109" s="1072"/>
      <c r="BI109" s="1073">
        <f t="shared" si="373"/>
        <v>0</v>
      </c>
      <c r="BJ109" s="1073">
        <f t="shared" si="374"/>
        <v>0</v>
      </c>
      <c r="BK109" s="1073">
        <f t="shared" si="375"/>
        <v>0</v>
      </c>
      <c r="BL109" s="1073">
        <f t="shared" si="376"/>
        <v>0</v>
      </c>
      <c r="BM109" s="508"/>
    </row>
    <row r="110" spans="1:65" ht="27" thickTop="1" thickBot="1">
      <c r="A110" s="509"/>
      <c r="B110" s="509"/>
      <c r="C110" s="511"/>
      <c r="D110" s="511"/>
      <c r="E110" s="510"/>
      <c r="F110" s="510"/>
      <c r="G110" s="509"/>
      <c r="H110" s="1071" t="str">
        <f>+'Anexo 1 Matriz Inf Gestión-GD'!A114</f>
        <v>3203.01.06. Desarrollo de instrumentos de planificación y administración del recurso hídrico (Implementación de acciones de PMA de acuiferos)</v>
      </c>
      <c r="I110" s="1072"/>
      <c r="J110" s="1072"/>
      <c r="K110" s="1072"/>
      <c r="L110" s="1072"/>
      <c r="M110" s="1072"/>
      <c r="N110" s="1072"/>
      <c r="O110" s="1072"/>
      <c r="P110" s="1072"/>
      <c r="Q110" s="1072"/>
      <c r="R110" s="1072"/>
      <c r="S110" s="1072"/>
      <c r="T110" s="1072"/>
      <c r="U110" s="1072"/>
      <c r="V110" s="1072"/>
      <c r="W110" s="1072"/>
      <c r="X110" s="1072"/>
      <c r="Y110" s="1072"/>
      <c r="Z110" s="1072"/>
      <c r="AA110" s="1072"/>
      <c r="AB110" s="1072"/>
      <c r="AC110" s="1072"/>
      <c r="AD110" s="1072"/>
      <c r="AE110" s="1072"/>
      <c r="AF110" s="1072"/>
      <c r="AG110" s="1072"/>
      <c r="AH110" s="1072"/>
      <c r="AI110" s="1072"/>
      <c r="AJ110" s="1072"/>
      <c r="AK110" s="1072"/>
      <c r="AL110" s="1072"/>
      <c r="AM110" s="1072"/>
      <c r="AN110" s="1072"/>
      <c r="AO110" s="1072"/>
      <c r="AP110" s="1072"/>
      <c r="AQ110" s="1072"/>
      <c r="AR110" s="1072"/>
      <c r="AS110" s="1072"/>
      <c r="AT110" s="1072"/>
      <c r="AU110" s="1072"/>
      <c r="AV110" s="1072"/>
      <c r="AW110" s="1072"/>
      <c r="AX110" s="1072"/>
      <c r="AY110" s="1072"/>
      <c r="AZ110" s="1072"/>
      <c r="BA110" s="1072"/>
      <c r="BB110" s="1072"/>
      <c r="BC110" s="1072"/>
      <c r="BD110" s="1072"/>
      <c r="BE110" s="1072"/>
      <c r="BF110" s="1072"/>
      <c r="BG110" s="1072"/>
      <c r="BH110" s="1072"/>
      <c r="BI110" s="1073">
        <f t="shared" si="373"/>
        <v>0</v>
      </c>
      <c r="BJ110" s="1073">
        <f t="shared" si="374"/>
        <v>0</v>
      </c>
      <c r="BK110" s="1073">
        <f t="shared" si="375"/>
        <v>0</v>
      </c>
      <c r="BL110" s="1073">
        <f t="shared" si="376"/>
        <v>0</v>
      </c>
      <c r="BM110" s="508"/>
    </row>
    <row r="111" spans="1:65" ht="27" thickTop="1" thickBot="1">
      <c r="A111" s="509"/>
      <c r="B111" s="509"/>
      <c r="C111" s="511"/>
      <c r="D111" s="511"/>
      <c r="E111" s="510"/>
      <c r="F111" s="510"/>
      <c r="G111" s="509"/>
      <c r="H111" s="1071" t="str">
        <f>+'Anexo 1 Matriz Inf Gestión-GD'!A115</f>
        <v>3203.01.07. Desarrollo de instrumentos de planificación y administración del recurso hídrico (Implementación de otras acciones de planeación y gestión de acuiferos)</v>
      </c>
      <c r="I111" s="1072"/>
      <c r="J111" s="1072"/>
      <c r="K111" s="1072"/>
      <c r="L111" s="1072"/>
      <c r="M111" s="1072"/>
      <c r="N111" s="1072"/>
      <c r="O111" s="1072"/>
      <c r="P111" s="1072"/>
      <c r="Q111" s="1072"/>
      <c r="R111" s="1072"/>
      <c r="S111" s="1072"/>
      <c r="T111" s="1072"/>
      <c r="U111" s="1072"/>
      <c r="V111" s="1072"/>
      <c r="W111" s="1072"/>
      <c r="X111" s="1072"/>
      <c r="Y111" s="1072"/>
      <c r="Z111" s="1072"/>
      <c r="AA111" s="1072"/>
      <c r="AB111" s="1072"/>
      <c r="AC111" s="1072"/>
      <c r="AD111" s="1072"/>
      <c r="AE111" s="1072"/>
      <c r="AF111" s="1072"/>
      <c r="AG111" s="1072"/>
      <c r="AH111" s="1072"/>
      <c r="AI111" s="1072"/>
      <c r="AJ111" s="1072"/>
      <c r="AK111" s="1072"/>
      <c r="AL111" s="1072"/>
      <c r="AM111" s="1072"/>
      <c r="AN111" s="1072"/>
      <c r="AO111" s="1072"/>
      <c r="AP111" s="1072"/>
      <c r="AQ111" s="1072"/>
      <c r="AR111" s="1072"/>
      <c r="AS111" s="1072"/>
      <c r="AT111" s="1072"/>
      <c r="AU111" s="1072"/>
      <c r="AV111" s="1072"/>
      <c r="AW111" s="1072"/>
      <c r="AX111" s="1072"/>
      <c r="AY111" s="1072"/>
      <c r="AZ111" s="1072"/>
      <c r="BA111" s="1072"/>
      <c r="BB111" s="1072"/>
      <c r="BC111" s="1072"/>
      <c r="BD111" s="1072"/>
      <c r="BE111" s="1072"/>
      <c r="BF111" s="1072"/>
      <c r="BG111" s="1072"/>
      <c r="BH111" s="1072"/>
      <c r="BI111" s="1073">
        <f t="shared" si="373"/>
        <v>0</v>
      </c>
      <c r="BJ111" s="1073">
        <f t="shared" si="374"/>
        <v>0</v>
      </c>
      <c r="BK111" s="1073">
        <f t="shared" si="375"/>
        <v>0</v>
      </c>
      <c r="BL111" s="1073">
        <f t="shared" si="376"/>
        <v>0</v>
      </c>
      <c r="BM111" s="508"/>
    </row>
    <row r="112" spans="1:65" ht="16.5" thickTop="1" thickBot="1">
      <c r="A112" s="509"/>
      <c r="B112" s="509"/>
      <c r="C112" s="511"/>
      <c r="D112" s="511"/>
      <c r="E112" s="510"/>
      <c r="F112" s="510"/>
      <c r="G112" s="509"/>
      <c r="H112" s="1071" t="str">
        <f>+'Anexo 1 Matriz Inf Gestión-GD'!A116</f>
        <v>3203.01.08. Gestión y formulación de PORH. .</v>
      </c>
      <c r="I112" s="1072"/>
      <c r="J112" s="1072"/>
      <c r="K112" s="1072"/>
      <c r="L112" s="1072"/>
      <c r="M112" s="1072"/>
      <c r="N112" s="1072"/>
      <c r="O112" s="1072"/>
      <c r="P112" s="1072"/>
      <c r="Q112" s="1072"/>
      <c r="R112" s="1072"/>
      <c r="S112" s="1072"/>
      <c r="T112" s="1072"/>
      <c r="U112" s="1072"/>
      <c r="V112" s="1072"/>
      <c r="W112" s="1072"/>
      <c r="X112" s="1072"/>
      <c r="Y112" s="1072"/>
      <c r="Z112" s="1072"/>
      <c r="AA112" s="1072"/>
      <c r="AB112" s="1072"/>
      <c r="AC112" s="1072"/>
      <c r="AD112" s="1072"/>
      <c r="AE112" s="1072"/>
      <c r="AF112" s="1072"/>
      <c r="AG112" s="1072"/>
      <c r="AH112" s="1072"/>
      <c r="AI112" s="1072"/>
      <c r="AJ112" s="1072"/>
      <c r="AK112" s="1072"/>
      <c r="AL112" s="1072"/>
      <c r="AM112" s="1072"/>
      <c r="AN112" s="1072"/>
      <c r="AO112" s="1072"/>
      <c r="AP112" s="1072"/>
      <c r="AQ112" s="1072"/>
      <c r="AR112" s="1072"/>
      <c r="AS112" s="1072"/>
      <c r="AT112" s="1072"/>
      <c r="AU112" s="1072"/>
      <c r="AV112" s="1072"/>
      <c r="AW112" s="1072"/>
      <c r="AX112" s="1072"/>
      <c r="AY112" s="1072"/>
      <c r="AZ112" s="1072"/>
      <c r="BA112" s="1072"/>
      <c r="BB112" s="1072"/>
      <c r="BC112" s="1072"/>
      <c r="BD112" s="1072"/>
      <c r="BE112" s="1072"/>
      <c r="BF112" s="1072"/>
      <c r="BG112" s="1072"/>
      <c r="BH112" s="1072"/>
      <c r="BI112" s="1073">
        <f t="shared" si="373"/>
        <v>0</v>
      </c>
      <c r="BJ112" s="1073">
        <f t="shared" si="374"/>
        <v>0</v>
      </c>
      <c r="BK112" s="1073">
        <f t="shared" si="375"/>
        <v>0</v>
      </c>
      <c r="BL112" s="1073">
        <f t="shared" si="376"/>
        <v>0</v>
      </c>
      <c r="BM112" s="508"/>
    </row>
    <row r="113" spans="1:65" ht="16.5" thickTop="1" thickBot="1">
      <c r="A113" s="509"/>
      <c r="B113" s="509"/>
      <c r="C113" s="511"/>
      <c r="D113" s="511"/>
      <c r="E113" s="510"/>
      <c r="F113" s="510"/>
      <c r="G113" s="509"/>
      <c r="H113" s="1071" t="str">
        <f>+'Anexo 1 Matriz Inf Gestión-GD'!A117</f>
        <v xml:space="preserve">3203.01.09 Implementación de acciones de PORH. </v>
      </c>
      <c r="I113" s="1072"/>
      <c r="J113" s="1072"/>
      <c r="K113" s="1072"/>
      <c r="L113" s="1072"/>
      <c r="M113" s="1072"/>
      <c r="N113" s="1072"/>
      <c r="O113" s="1072"/>
      <c r="P113" s="1072"/>
      <c r="Q113" s="1072"/>
      <c r="R113" s="1072"/>
      <c r="S113" s="1072"/>
      <c r="T113" s="1072"/>
      <c r="U113" s="1072"/>
      <c r="V113" s="1072"/>
      <c r="W113" s="1072"/>
      <c r="X113" s="1072"/>
      <c r="Y113" s="1072"/>
      <c r="Z113" s="1072"/>
      <c r="AA113" s="1072"/>
      <c r="AB113" s="1072"/>
      <c r="AC113" s="1072"/>
      <c r="AD113" s="1072"/>
      <c r="AE113" s="1072"/>
      <c r="AF113" s="1072"/>
      <c r="AG113" s="1072"/>
      <c r="AH113" s="1072"/>
      <c r="AI113" s="1072"/>
      <c r="AJ113" s="1072"/>
      <c r="AK113" s="1072"/>
      <c r="AL113" s="1072"/>
      <c r="AM113" s="1072"/>
      <c r="AN113" s="1072"/>
      <c r="AO113" s="1072"/>
      <c r="AP113" s="1072"/>
      <c r="AQ113" s="1072"/>
      <c r="AR113" s="1072"/>
      <c r="AS113" s="1072"/>
      <c r="AT113" s="1072"/>
      <c r="AU113" s="1072"/>
      <c r="AV113" s="1072"/>
      <c r="AW113" s="1072"/>
      <c r="AX113" s="1072"/>
      <c r="AY113" s="1072"/>
      <c r="AZ113" s="1072"/>
      <c r="BA113" s="1072"/>
      <c r="BB113" s="1072"/>
      <c r="BC113" s="1072"/>
      <c r="BD113" s="1072"/>
      <c r="BE113" s="1072"/>
      <c r="BF113" s="1072"/>
      <c r="BG113" s="1072"/>
      <c r="BH113" s="1072"/>
      <c r="BI113" s="1073">
        <f t="shared" si="373"/>
        <v>0</v>
      </c>
      <c r="BJ113" s="1073">
        <f t="shared" si="374"/>
        <v>0</v>
      </c>
      <c r="BK113" s="1073">
        <f t="shared" si="375"/>
        <v>0</v>
      </c>
      <c r="BL113" s="1073">
        <f t="shared" si="376"/>
        <v>0</v>
      </c>
      <c r="BM113" s="508"/>
    </row>
    <row r="114" spans="1:65" ht="16.5" thickTop="1" thickBot="1">
      <c r="A114" s="509"/>
      <c r="B114" s="509"/>
      <c r="C114" s="511"/>
      <c r="D114" s="511"/>
      <c r="E114" s="510"/>
      <c r="F114" s="510"/>
      <c r="G114" s="509"/>
      <c r="H114" s="1071" t="str">
        <f>+'Anexo 1 Matriz Inf Gestión-GD'!A118</f>
        <v xml:space="preserve">3203.01.12 Control y seguimiento a los PUEAA aprobados por la Corporación </v>
      </c>
      <c r="I114" s="1072"/>
      <c r="J114" s="1072"/>
      <c r="K114" s="1072"/>
      <c r="L114" s="1072"/>
      <c r="M114" s="1072"/>
      <c r="N114" s="1072"/>
      <c r="O114" s="1072"/>
      <c r="P114" s="1072"/>
      <c r="Q114" s="1072"/>
      <c r="R114" s="1072"/>
      <c r="S114" s="1072"/>
      <c r="T114" s="1072"/>
      <c r="U114" s="1072"/>
      <c r="V114" s="1072"/>
      <c r="W114" s="1072"/>
      <c r="X114" s="1072"/>
      <c r="Y114" s="1072"/>
      <c r="Z114" s="1072"/>
      <c r="AA114" s="1072"/>
      <c r="AB114" s="1072"/>
      <c r="AC114" s="1072"/>
      <c r="AD114" s="1072"/>
      <c r="AE114" s="1072"/>
      <c r="AF114" s="1072"/>
      <c r="AG114" s="1072"/>
      <c r="AH114" s="1072"/>
      <c r="AI114" s="1072"/>
      <c r="AJ114" s="1072"/>
      <c r="AK114" s="1072"/>
      <c r="AL114" s="1072"/>
      <c r="AM114" s="1072"/>
      <c r="AN114" s="1072"/>
      <c r="AO114" s="1072"/>
      <c r="AP114" s="1072"/>
      <c r="AQ114" s="1072"/>
      <c r="AR114" s="1072"/>
      <c r="AS114" s="1072"/>
      <c r="AT114" s="1072"/>
      <c r="AU114" s="1072"/>
      <c r="AV114" s="1072"/>
      <c r="AW114" s="1072"/>
      <c r="AX114" s="1072"/>
      <c r="AY114" s="1072"/>
      <c r="AZ114" s="1072"/>
      <c r="BA114" s="1072"/>
      <c r="BB114" s="1072"/>
      <c r="BC114" s="1072"/>
      <c r="BD114" s="1072"/>
      <c r="BE114" s="1072"/>
      <c r="BF114" s="1072"/>
      <c r="BG114" s="1072"/>
      <c r="BH114" s="1072"/>
      <c r="BI114" s="1073">
        <f t="shared" si="373"/>
        <v>0</v>
      </c>
      <c r="BJ114" s="1073">
        <f t="shared" si="374"/>
        <v>0</v>
      </c>
      <c r="BK114" s="1073">
        <f t="shared" si="375"/>
        <v>0</v>
      </c>
      <c r="BL114" s="1073">
        <f t="shared" si="376"/>
        <v>0</v>
      </c>
      <c r="BM114" s="508"/>
    </row>
    <row r="115" spans="1:65" ht="16.5" thickTop="1" thickBot="1">
      <c r="A115" s="509"/>
      <c r="B115" s="509"/>
      <c r="C115" s="511"/>
      <c r="D115" s="511"/>
      <c r="E115" s="510"/>
      <c r="F115" s="510"/>
      <c r="G115" s="509"/>
      <c r="H115" s="1071" t="str">
        <f>+'Anexo 1 Matriz Inf Gestión-GD'!A119</f>
        <v xml:space="preserve">3203.01.10 Control y seguimiento a los PSMV aprobados por la Corporación </v>
      </c>
      <c r="I115" s="1072"/>
      <c r="J115" s="1072"/>
      <c r="K115" s="1072"/>
      <c r="L115" s="1072"/>
      <c r="M115" s="1072"/>
      <c r="N115" s="1072"/>
      <c r="O115" s="1072"/>
      <c r="P115" s="1072"/>
      <c r="Q115" s="1072"/>
      <c r="R115" s="1072"/>
      <c r="S115" s="1072"/>
      <c r="T115" s="1072"/>
      <c r="U115" s="1072"/>
      <c r="V115" s="1072"/>
      <c r="W115" s="1072"/>
      <c r="X115" s="1072"/>
      <c r="Y115" s="1072"/>
      <c r="Z115" s="1072"/>
      <c r="AA115" s="1072"/>
      <c r="AB115" s="1072"/>
      <c r="AC115" s="1072"/>
      <c r="AD115" s="1072"/>
      <c r="AE115" s="1072"/>
      <c r="AF115" s="1072"/>
      <c r="AG115" s="1072"/>
      <c r="AH115" s="1072"/>
      <c r="AI115" s="1072"/>
      <c r="AJ115" s="1072"/>
      <c r="AK115" s="1072"/>
      <c r="AL115" s="1072"/>
      <c r="AM115" s="1072"/>
      <c r="AN115" s="1072"/>
      <c r="AO115" s="1072"/>
      <c r="AP115" s="1072"/>
      <c r="AQ115" s="1072"/>
      <c r="AR115" s="1072"/>
      <c r="AS115" s="1072"/>
      <c r="AT115" s="1072"/>
      <c r="AU115" s="1072"/>
      <c r="AV115" s="1072"/>
      <c r="AW115" s="1072"/>
      <c r="AX115" s="1072"/>
      <c r="AY115" s="1072"/>
      <c r="AZ115" s="1072"/>
      <c r="BA115" s="1072"/>
      <c r="BB115" s="1072"/>
      <c r="BC115" s="1072"/>
      <c r="BD115" s="1072"/>
      <c r="BE115" s="1072"/>
      <c r="BF115" s="1072"/>
      <c r="BG115" s="1072"/>
      <c r="BH115" s="1072"/>
      <c r="BI115" s="1073">
        <f t="shared" si="373"/>
        <v>0</v>
      </c>
      <c r="BJ115" s="1073">
        <f t="shared" si="374"/>
        <v>0</v>
      </c>
      <c r="BK115" s="1073">
        <f t="shared" si="375"/>
        <v>0</v>
      </c>
      <c r="BL115" s="1073">
        <f t="shared" si="376"/>
        <v>0</v>
      </c>
      <c r="BM115" s="508"/>
    </row>
    <row r="116" spans="1:65" ht="39.75" thickTop="1" thickBot="1">
      <c r="A116" s="509"/>
      <c r="B116" s="509"/>
      <c r="C116" s="511"/>
      <c r="D116" s="511"/>
      <c r="E116" s="510"/>
      <c r="F116" s="510"/>
      <c r="G116" s="509"/>
      <c r="H116" s="1071" t="str">
        <f>+'Anexo 1 Matriz Inf Gestión-GD'!A120</f>
        <v>3203.01.11 Apoyo a implementación de  los PSMV  e implementación de acciones para el uso eficiente y descontaminación del recurso hídrico en el dpto. del Cesar. (armonización con proyecto 4.1)</v>
      </c>
      <c r="I116" s="1072"/>
      <c r="J116" s="1072"/>
      <c r="K116" s="1072"/>
      <c r="L116" s="1072"/>
      <c r="M116" s="1072"/>
      <c r="N116" s="1072"/>
      <c r="O116" s="1072"/>
      <c r="P116" s="1072"/>
      <c r="Q116" s="1072"/>
      <c r="R116" s="1072"/>
      <c r="S116" s="1072"/>
      <c r="T116" s="1072"/>
      <c r="U116" s="1072"/>
      <c r="V116" s="1072"/>
      <c r="W116" s="1072"/>
      <c r="X116" s="1072"/>
      <c r="Y116" s="1072"/>
      <c r="Z116" s="1072"/>
      <c r="AA116" s="1072"/>
      <c r="AB116" s="1072"/>
      <c r="AC116" s="1072"/>
      <c r="AD116" s="1072"/>
      <c r="AE116" s="1072"/>
      <c r="AF116" s="1072"/>
      <c r="AG116" s="1072"/>
      <c r="AH116" s="1072"/>
      <c r="AI116" s="1072"/>
      <c r="AJ116" s="1072"/>
      <c r="AK116" s="1072"/>
      <c r="AL116" s="1072"/>
      <c r="AM116" s="1072"/>
      <c r="AN116" s="1072"/>
      <c r="AO116" s="1072"/>
      <c r="AP116" s="1072"/>
      <c r="AQ116" s="1072"/>
      <c r="AR116" s="1072"/>
      <c r="AS116" s="1072"/>
      <c r="AT116" s="1072"/>
      <c r="AU116" s="1072"/>
      <c r="AV116" s="1072"/>
      <c r="AW116" s="1072"/>
      <c r="AX116" s="1072"/>
      <c r="AY116" s="1072"/>
      <c r="AZ116" s="1072"/>
      <c r="BA116" s="1072"/>
      <c r="BB116" s="1072"/>
      <c r="BC116" s="1072"/>
      <c r="BD116" s="1072"/>
      <c r="BE116" s="1072"/>
      <c r="BF116" s="1072"/>
      <c r="BG116" s="1072"/>
      <c r="BH116" s="1072"/>
      <c r="BI116" s="1073">
        <f t="shared" si="373"/>
        <v>0</v>
      </c>
      <c r="BJ116" s="1073">
        <f t="shared" si="374"/>
        <v>0</v>
      </c>
      <c r="BK116" s="1073">
        <f t="shared" si="375"/>
        <v>0</v>
      </c>
      <c r="BL116" s="1073">
        <f t="shared" si="376"/>
        <v>0</v>
      </c>
      <c r="BM116" s="508"/>
    </row>
    <row r="117" spans="1:65" ht="39.75" thickTop="1" thickBot="1">
      <c r="A117" s="509"/>
      <c r="B117" s="509"/>
      <c r="C117" s="511"/>
      <c r="D117" s="511"/>
      <c r="E117" s="510"/>
      <c r="F117" s="510"/>
      <c r="G117" s="509"/>
      <c r="H117" s="1071" t="str">
        <f>+'Anexo 1 Matriz Inf Gestión-GD'!A121</f>
        <v>3203.01.13 Acotamiento de rondas hídricas e incorporación a las Determinantes ambientales (Cuerpos de agua priorizados: R. Guatapurí No 1). Armonización con el proyecto 3.1</v>
      </c>
      <c r="I117" s="1072"/>
      <c r="J117" s="1072"/>
      <c r="K117" s="1072"/>
      <c r="L117" s="1072"/>
      <c r="M117" s="1072"/>
      <c r="N117" s="1072"/>
      <c r="O117" s="1072"/>
      <c r="P117" s="1072"/>
      <c r="Q117" s="1072"/>
      <c r="R117" s="1072"/>
      <c r="S117" s="1072"/>
      <c r="T117" s="1072"/>
      <c r="U117" s="1072"/>
      <c r="V117" s="1072"/>
      <c r="W117" s="1072"/>
      <c r="X117" s="1072"/>
      <c r="Y117" s="1072"/>
      <c r="Z117" s="1072"/>
      <c r="AA117" s="1072"/>
      <c r="AB117" s="1072"/>
      <c r="AC117" s="1072"/>
      <c r="AD117" s="1072"/>
      <c r="AE117" s="1072"/>
      <c r="AF117" s="1072"/>
      <c r="AG117" s="1072"/>
      <c r="AH117" s="1072"/>
      <c r="AI117" s="1072"/>
      <c r="AJ117" s="1072"/>
      <c r="AK117" s="1072"/>
      <c r="AL117" s="1072"/>
      <c r="AM117" s="1072"/>
      <c r="AN117" s="1072"/>
      <c r="AO117" s="1072"/>
      <c r="AP117" s="1072"/>
      <c r="AQ117" s="1072"/>
      <c r="AR117" s="1072"/>
      <c r="AS117" s="1072"/>
      <c r="AT117" s="1072"/>
      <c r="AU117" s="1072"/>
      <c r="AV117" s="1072"/>
      <c r="AW117" s="1072"/>
      <c r="AX117" s="1072"/>
      <c r="AY117" s="1072"/>
      <c r="AZ117" s="1072"/>
      <c r="BA117" s="1072"/>
      <c r="BB117" s="1072"/>
      <c r="BC117" s="1072"/>
      <c r="BD117" s="1072"/>
      <c r="BE117" s="1072"/>
      <c r="BF117" s="1072"/>
      <c r="BG117" s="1072"/>
      <c r="BH117" s="1072"/>
      <c r="BI117" s="1073">
        <f t="shared" si="373"/>
        <v>0</v>
      </c>
      <c r="BJ117" s="1073">
        <f t="shared" si="374"/>
        <v>0</v>
      </c>
      <c r="BK117" s="1073">
        <f t="shared" si="375"/>
        <v>0</v>
      </c>
      <c r="BL117" s="1073">
        <f t="shared" si="376"/>
        <v>0</v>
      </c>
      <c r="BM117" s="508"/>
    </row>
    <row r="118" spans="1:65" ht="39.75" thickTop="1" thickBot="1">
      <c r="A118" s="509"/>
      <c r="B118" s="509"/>
      <c r="C118" s="511"/>
      <c r="D118" s="511"/>
      <c r="E118" s="510"/>
      <c r="F118" s="510"/>
      <c r="G118" s="509"/>
      <c r="H118" s="1071" t="str">
        <f>+'Anexo 1 Matriz Inf Gestión-GD'!A122</f>
        <v>3203.01.14 Estructuración e implementación de una estrategia integral para la recuperación de ecosistemas en la cuenca del río Cesar (tipo APP). En armonía con el programa 5 y la actividad 2.4.2</v>
      </c>
      <c r="I118" s="1072"/>
      <c r="J118" s="1072"/>
      <c r="K118" s="1072"/>
      <c r="L118" s="1072"/>
      <c r="M118" s="1072"/>
      <c r="N118" s="1072"/>
      <c r="O118" s="1072"/>
      <c r="P118" s="1072"/>
      <c r="Q118" s="1072"/>
      <c r="R118" s="1072"/>
      <c r="S118" s="1072"/>
      <c r="T118" s="1072"/>
      <c r="U118" s="1072"/>
      <c r="V118" s="1072"/>
      <c r="W118" s="1072"/>
      <c r="X118" s="1072"/>
      <c r="Y118" s="1072"/>
      <c r="Z118" s="1072"/>
      <c r="AA118" s="1072"/>
      <c r="AB118" s="1072"/>
      <c r="AC118" s="1072"/>
      <c r="AD118" s="1072"/>
      <c r="AE118" s="1072"/>
      <c r="AF118" s="1072"/>
      <c r="AG118" s="1072"/>
      <c r="AH118" s="1072"/>
      <c r="AI118" s="1072"/>
      <c r="AJ118" s="1072"/>
      <c r="AK118" s="1072"/>
      <c r="AL118" s="1072"/>
      <c r="AM118" s="1072"/>
      <c r="AN118" s="1072"/>
      <c r="AO118" s="1072"/>
      <c r="AP118" s="1072"/>
      <c r="AQ118" s="1072"/>
      <c r="AR118" s="1072"/>
      <c r="AS118" s="1072"/>
      <c r="AT118" s="1072"/>
      <c r="AU118" s="1072"/>
      <c r="AV118" s="1072"/>
      <c r="AW118" s="1072"/>
      <c r="AX118" s="1072"/>
      <c r="AY118" s="1072"/>
      <c r="AZ118" s="1072"/>
      <c r="BA118" s="1072"/>
      <c r="BB118" s="1072"/>
      <c r="BC118" s="1072"/>
      <c r="BD118" s="1072"/>
      <c r="BE118" s="1072"/>
      <c r="BF118" s="1072"/>
      <c r="BG118" s="1072"/>
      <c r="BH118" s="1072"/>
      <c r="BI118" s="1073">
        <f t="shared" si="373"/>
        <v>0</v>
      </c>
      <c r="BJ118" s="1073">
        <f t="shared" si="374"/>
        <v>0</v>
      </c>
      <c r="BK118" s="1073">
        <f t="shared" si="375"/>
        <v>0</v>
      </c>
      <c r="BL118" s="1073">
        <f t="shared" si="376"/>
        <v>0</v>
      </c>
      <c r="BM118" s="508"/>
    </row>
    <row r="119" spans="1:65" ht="39.75" thickTop="1" thickBot="1">
      <c r="A119" s="509"/>
      <c r="B119" s="509"/>
      <c r="C119" s="511"/>
      <c r="D119" s="511"/>
      <c r="E119" s="510"/>
      <c r="F119" s="510"/>
      <c r="G119" s="509"/>
      <c r="H119" s="1071" t="str">
        <f>+'Anexo 1 Matriz Inf Gestión-GD'!A123</f>
        <v>3203.01.15 Instalación de las denominadas "plataformas colaborativas" con el MADS, para la articulación de inversiones y acciones para la recuperación de ecosistemas degradados en torno a cuencas hidrográficas.</v>
      </c>
      <c r="I119" s="1072"/>
      <c r="J119" s="1072"/>
      <c r="K119" s="1072"/>
      <c r="L119" s="1072"/>
      <c r="M119" s="1072"/>
      <c r="N119" s="1072"/>
      <c r="O119" s="1072"/>
      <c r="P119" s="1072"/>
      <c r="Q119" s="1072"/>
      <c r="R119" s="1072"/>
      <c r="S119" s="1072"/>
      <c r="T119" s="1072"/>
      <c r="U119" s="1072"/>
      <c r="V119" s="1072"/>
      <c r="W119" s="1072"/>
      <c r="X119" s="1072"/>
      <c r="Y119" s="1072"/>
      <c r="Z119" s="1072"/>
      <c r="AA119" s="1072"/>
      <c r="AB119" s="1072"/>
      <c r="AC119" s="1072"/>
      <c r="AD119" s="1072"/>
      <c r="AE119" s="1072"/>
      <c r="AF119" s="1072"/>
      <c r="AG119" s="1072"/>
      <c r="AH119" s="1072"/>
      <c r="AI119" s="1072"/>
      <c r="AJ119" s="1072"/>
      <c r="AK119" s="1072"/>
      <c r="AL119" s="1072"/>
      <c r="AM119" s="1072"/>
      <c r="AN119" s="1072"/>
      <c r="AO119" s="1072"/>
      <c r="AP119" s="1072"/>
      <c r="AQ119" s="1072"/>
      <c r="AR119" s="1072"/>
      <c r="AS119" s="1072"/>
      <c r="AT119" s="1072"/>
      <c r="AU119" s="1072"/>
      <c r="AV119" s="1072"/>
      <c r="AW119" s="1072"/>
      <c r="AX119" s="1072"/>
      <c r="AY119" s="1072"/>
      <c r="AZ119" s="1072"/>
      <c r="BA119" s="1072"/>
      <c r="BB119" s="1072"/>
      <c r="BC119" s="1072"/>
      <c r="BD119" s="1072"/>
      <c r="BE119" s="1072"/>
      <c r="BF119" s="1072"/>
      <c r="BG119" s="1072"/>
      <c r="BH119" s="1072"/>
      <c r="BI119" s="1073">
        <f t="shared" si="373"/>
        <v>0</v>
      </c>
      <c r="BJ119" s="1073">
        <f t="shared" si="374"/>
        <v>0</v>
      </c>
      <c r="BK119" s="1073">
        <f t="shared" si="375"/>
        <v>0</v>
      </c>
      <c r="BL119" s="1073">
        <f t="shared" si="376"/>
        <v>0</v>
      </c>
      <c r="BM119" s="508"/>
    </row>
    <row r="120" spans="1:65" ht="28.5" thickTop="1" thickBot="1">
      <c r="A120" s="1054"/>
      <c r="B120" s="1055"/>
      <c r="C120" s="1055"/>
      <c r="D120" s="1055"/>
      <c r="E120" s="1054"/>
      <c r="F120" s="1054"/>
      <c r="G120" s="1054"/>
      <c r="H120" s="1056" t="str">
        <f>+'Anexo 1 Matriz Inf Gestión-GD'!A124</f>
        <v>LINEA ESTRATÉGICA 3. GESTIÓN DEL ORDENAMIENTO AMBIENTAL TERRITORIAL Y GESTIÓN DEL RIESGO</v>
      </c>
      <c r="I120" s="1057">
        <f>+I121</f>
        <v>0</v>
      </c>
      <c r="J120" s="1057">
        <f t="shared" ref="J120:AL120" si="538">+J121</f>
        <v>0</v>
      </c>
      <c r="K120" s="1057">
        <f t="shared" si="538"/>
        <v>0</v>
      </c>
      <c r="L120" s="1057">
        <f t="shared" si="538"/>
        <v>0</v>
      </c>
      <c r="M120" s="1057">
        <f t="shared" si="538"/>
        <v>0</v>
      </c>
      <c r="N120" s="1057">
        <f t="shared" si="538"/>
        <v>0</v>
      </c>
      <c r="O120" s="1057">
        <f t="shared" si="538"/>
        <v>0</v>
      </c>
      <c r="P120" s="1057">
        <f t="shared" si="538"/>
        <v>0</v>
      </c>
      <c r="Q120" s="1057">
        <f t="shared" si="538"/>
        <v>0</v>
      </c>
      <c r="R120" s="1057">
        <f t="shared" si="538"/>
        <v>0</v>
      </c>
      <c r="S120" s="1057">
        <f t="shared" si="538"/>
        <v>0</v>
      </c>
      <c r="T120" s="1057">
        <f t="shared" si="538"/>
        <v>0</v>
      </c>
      <c r="U120" s="1057">
        <f t="shared" si="538"/>
        <v>0</v>
      </c>
      <c r="V120" s="1057">
        <f t="shared" si="538"/>
        <v>0</v>
      </c>
      <c r="W120" s="1057">
        <f t="shared" si="538"/>
        <v>0</v>
      </c>
      <c r="X120" s="1057">
        <f t="shared" si="538"/>
        <v>0</v>
      </c>
      <c r="Y120" s="1057">
        <f t="shared" si="538"/>
        <v>0</v>
      </c>
      <c r="Z120" s="1057">
        <f t="shared" si="538"/>
        <v>0</v>
      </c>
      <c r="AA120" s="1057">
        <f t="shared" si="538"/>
        <v>0</v>
      </c>
      <c r="AB120" s="1057">
        <f t="shared" si="538"/>
        <v>0</v>
      </c>
      <c r="AC120" s="1057">
        <f t="shared" si="538"/>
        <v>0</v>
      </c>
      <c r="AD120" s="1057">
        <f t="shared" si="538"/>
        <v>0</v>
      </c>
      <c r="AE120" s="1057">
        <f t="shared" si="538"/>
        <v>0</v>
      </c>
      <c r="AF120" s="1057">
        <f t="shared" si="538"/>
        <v>0</v>
      </c>
      <c r="AG120" s="1057">
        <f t="shared" si="538"/>
        <v>0</v>
      </c>
      <c r="AH120" s="1057">
        <f t="shared" si="538"/>
        <v>0</v>
      </c>
      <c r="AI120" s="1057">
        <f t="shared" si="538"/>
        <v>0</v>
      </c>
      <c r="AJ120" s="1057">
        <f t="shared" si="538"/>
        <v>0</v>
      </c>
      <c r="AK120" s="1057">
        <f t="shared" si="538"/>
        <v>0</v>
      </c>
      <c r="AL120" s="1057">
        <f t="shared" si="538"/>
        <v>0</v>
      </c>
      <c r="AM120" s="1057">
        <f t="shared" ref="AM120" si="539">+AM121</f>
        <v>0</v>
      </c>
      <c r="AN120" s="1057">
        <f t="shared" ref="AN120" si="540">+AN121</f>
        <v>0</v>
      </c>
      <c r="AO120" s="1057">
        <f t="shared" ref="AO120" si="541">+AO121</f>
        <v>0</v>
      </c>
      <c r="AP120" s="1057">
        <f t="shared" ref="AP120" si="542">+AP121</f>
        <v>0</v>
      </c>
      <c r="AQ120" s="1057">
        <f t="shared" ref="AQ120" si="543">+AQ121</f>
        <v>0</v>
      </c>
      <c r="AR120" s="1057">
        <f t="shared" ref="AR120" si="544">+AR121</f>
        <v>0</v>
      </c>
      <c r="AS120" s="1057">
        <f t="shared" ref="AS120" si="545">+AS121</f>
        <v>0</v>
      </c>
      <c r="AT120" s="1057">
        <f t="shared" ref="AT120" si="546">+AT121</f>
        <v>0</v>
      </c>
      <c r="AU120" s="1057">
        <f t="shared" ref="AU120" si="547">+AU121</f>
        <v>0</v>
      </c>
      <c r="AV120" s="1057">
        <f t="shared" ref="AV120" si="548">+AV121</f>
        <v>0</v>
      </c>
      <c r="AW120" s="1057">
        <f t="shared" ref="AW120" si="549">+AW121</f>
        <v>0</v>
      </c>
      <c r="AX120" s="1057">
        <f t="shared" ref="AX120" si="550">+AX121</f>
        <v>0</v>
      </c>
      <c r="AY120" s="1057">
        <f t="shared" ref="AY120" si="551">+AY121</f>
        <v>0</v>
      </c>
      <c r="AZ120" s="1057">
        <f t="shared" ref="AZ120" si="552">+AZ121</f>
        <v>0</v>
      </c>
      <c r="BA120" s="1057">
        <f t="shared" ref="BA120" si="553">+BA121</f>
        <v>0</v>
      </c>
      <c r="BB120" s="1057">
        <f t="shared" ref="BB120" si="554">+BB121</f>
        <v>0</v>
      </c>
      <c r="BC120" s="1057">
        <f t="shared" ref="BC120" si="555">+BC121</f>
        <v>0</v>
      </c>
      <c r="BD120" s="1057">
        <f t="shared" ref="BD120" si="556">+BD121</f>
        <v>0</v>
      </c>
      <c r="BE120" s="1057">
        <f t="shared" ref="BE120" si="557">+BE121</f>
        <v>0</v>
      </c>
      <c r="BF120" s="1057">
        <f t="shared" ref="BF120" si="558">+BF121</f>
        <v>0</v>
      </c>
      <c r="BG120" s="1057">
        <f t="shared" ref="BG120" si="559">+BG121</f>
        <v>0</v>
      </c>
      <c r="BH120" s="1057">
        <f t="shared" ref="BH120" si="560">+BH121</f>
        <v>0</v>
      </c>
      <c r="BI120" s="1058">
        <f t="shared" si="373"/>
        <v>0</v>
      </c>
      <c r="BJ120" s="1058">
        <f t="shared" si="374"/>
        <v>0</v>
      </c>
      <c r="BK120" s="1058">
        <f t="shared" si="375"/>
        <v>0</v>
      </c>
      <c r="BL120" s="1058">
        <f t="shared" si="376"/>
        <v>0</v>
      </c>
      <c r="BM120" s="1059"/>
    </row>
    <row r="121" spans="1:65" ht="16.5" thickTop="1" thickBot="1">
      <c r="A121" s="1060"/>
      <c r="B121" s="1061"/>
      <c r="C121" s="1061"/>
      <c r="D121" s="1061"/>
      <c r="E121" s="1060"/>
      <c r="F121" s="1060"/>
      <c r="G121" s="1060"/>
      <c r="H121" s="1062" t="str">
        <f>+'Anexo 1 Matriz Inf Gestión-GD'!A125</f>
        <v>PROGRAMA 3205. ORDENAMIENTO AMBIENTAL TERRITORIAL</v>
      </c>
      <c r="I121" s="1063">
        <f>+I122+I127+I132</f>
        <v>0</v>
      </c>
      <c r="J121" s="1063">
        <f t="shared" ref="J121:AL121" si="561">+J122+J127+J132</f>
        <v>0</v>
      </c>
      <c r="K121" s="1063">
        <f t="shared" si="561"/>
        <v>0</v>
      </c>
      <c r="L121" s="1063">
        <f t="shared" si="561"/>
        <v>0</v>
      </c>
      <c r="M121" s="1063">
        <f t="shared" si="561"/>
        <v>0</v>
      </c>
      <c r="N121" s="1063">
        <f t="shared" si="561"/>
        <v>0</v>
      </c>
      <c r="O121" s="1063">
        <f t="shared" si="561"/>
        <v>0</v>
      </c>
      <c r="P121" s="1063">
        <f t="shared" si="561"/>
        <v>0</v>
      </c>
      <c r="Q121" s="1063">
        <f t="shared" si="561"/>
        <v>0</v>
      </c>
      <c r="R121" s="1063">
        <f t="shared" si="561"/>
        <v>0</v>
      </c>
      <c r="S121" s="1063">
        <f t="shared" si="561"/>
        <v>0</v>
      </c>
      <c r="T121" s="1063">
        <f t="shared" si="561"/>
        <v>0</v>
      </c>
      <c r="U121" s="1063">
        <f t="shared" si="561"/>
        <v>0</v>
      </c>
      <c r="V121" s="1063">
        <f t="shared" si="561"/>
        <v>0</v>
      </c>
      <c r="W121" s="1063">
        <f t="shared" si="561"/>
        <v>0</v>
      </c>
      <c r="X121" s="1063">
        <f t="shared" si="561"/>
        <v>0</v>
      </c>
      <c r="Y121" s="1063">
        <f t="shared" si="561"/>
        <v>0</v>
      </c>
      <c r="Z121" s="1063">
        <f t="shared" si="561"/>
        <v>0</v>
      </c>
      <c r="AA121" s="1063">
        <f t="shared" si="561"/>
        <v>0</v>
      </c>
      <c r="AB121" s="1063">
        <f t="shared" si="561"/>
        <v>0</v>
      </c>
      <c r="AC121" s="1063">
        <f t="shared" si="561"/>
        <v>0</v>
      </c>
      <c r="AD121" s="1063">
        <f t="shared" si="561"/>
        <v>0</v>
      </c>
      <c r="AE121" s="1063">
        <f t="shared" si="561"/>
        <v>0</v>
      </c>
      <c r="AF121" s="1063">
        <f t="shared" si="561"/>
        <v>0</v>
      </c>
      <c r="AG121" s="1063">
        <f t="shared" si="561"/>
        <v>0</v>
      </c>
      <c r="AH121" s="1063">
        <f t="shared" si="561"/>
        <v>0</v>
      </c>
      <c r="AI121" s="1063">
        <f t="shared" si="561"/>
        <v>0</v>
      </c>
      <c r="AJ121" s="1063">
        <f t="shared" si="561"/>
        <v>0</v>
      </c>
      <c r="AK121" s="1063">
        <f t="shared" si="561"/>
        <v>0</v>
      </c>
      <c r="AL121" s="1063">
        <f t="shared" si="561"/>
        <v>0</v>
      </c>
      <c r="AM121" s="1063">
        <f t="shared" ref="AM121" si="562">+AM122+AM127+AM132</f>
        <v>0</v>
      </c>
      <c r="AN121" s="1063">
        <f t="shared" ref="AN121" si="563">+AN122+AN127+AN132</f>
        <v>0</v>
      </c>
      <c r="AO121" s="1063">
        <f t="shared" ref="AO121" si="564">+AO122+AO127+AO132</f>
        <v>0</v>
      </c>
      <c r="AP121" s="1063">
        <f t="shared" ref="AP121" si="565">+AP122+AP127+AP132</f>
        <v>0</v>
      </c>
      <c r="AQ121" s="1063">
        <f t="shared" ref="AQ121" si="566">+AQ122+AQ127+AQ132</f>
        <v>0</v>
      </c>
      <c r="AR121" s="1063">
        <f t="shared" ref="AR121" si="567">+AR122+AR127+AR132</f>
        <v>0</v>
      </c>
      <c r="AS121" s="1063">
        <f t="shared" ref="AS121" si="568">+AS122+AS127+AS132</f>
        <v>0</v>
      </c>
      <c r="AT121" s="1063">
        <f t="shared" ref="AT121" si="569">+AT122+AT127+AT132</f>
        <v>0</v>
      </c>
      <c r="AU121" s="1063">
        <f t="shared" ref="AU121" si="570">+AU122+AU127+AU132</f>
        <v>0</v>
      </c>
      <c r="AV121" s="1063">
        <f t="shared" ref="AV121" si="571">+AV122+AV127+AV132</f>
        <v>0</v>
      </c>
      <c r="AW121" s="1063">
        <f t="shared" ref="AW121" si="572">+AW122+AW127+AW132</f>
        <v>0</v>
      </c>
      <c r="AX121" s="1063">
        <f t="shared" ref="AX121" si="573">+AX122+AX127+AX132</f>
        <v>0</v>
      </c>
      <c r="AY121" s="1063">
        <f t="shared" ref="AY121" si="574">+AY122+AY127+AY132</f>
        <v>0</v>
      </c>
      <c r="AZ121" s="1063">
        <f t="shared" ref="AZ121" si="575">+AZ122+AZ127+AZ132</f>
        <v>0</v>
      </c>
      <c r="BA121" s="1063">
        <f t="shared" ref="BA121" si="576">+BA122+BA127+BA132</f>
        <v>0</v>
      </c>
      <c r="BB121" s="1063">
        <f t="shared" ref="BB121" si="577">+BB122+BB127+BB132</f>
        <v>0</v>
      </c>
      <c r="BC121" s="1063">
        <f t="shared" ref="BC121" si="578">+BC122+BC127+BC132</f>
        <v>0</v>
      </c>
      <c r="BD121" s="1063">
        <f t="shared" ref="BD121" si="579">+BD122+BD127+BD132</f>
        <v>0</v>
      </c>
      <c r="BE121" s="1063">
        <f t="shared" ref="BE121" si="580">+BE122+BE127+BE132</f>
        <v>0</v>
      </c>
      <c r="BF121" s="1063">
        <f t="shared" ref="BF121" si="581">+BF122+BF127+BF132</f>
        <v>0</v>
      </c>
      <c r="BG121" s="1063">
        <f t="shared" ref="BG121" si="582">+BG122+BG127+BG132</f>
        <v>0</v>
      </c>
      <c r="BH121" s="1063">
        <f t="shared" ref="BH121" si="583">+BH122+BH127+BH132</f>
        <v>0</v>
      </c>
      <c r="BI121" s="1064">
        <f t="shared" si="373"/>
        <v>0</v>
      </c>
      <c r="BJ121" s="1064">
        <f t="shared" si="374"/>
        <v>0</v>
      </c>
      <c r="BK121" s="1064">
        <f t="shared" si="375"/>
        <v>0</v>
      </c>
      <c r="BL121" s="1064">
        <f t="shared" si="376"/>
        <v>0</v>
      </c>
      <c r="BM121" s="1065"/>
    </row>
    <row r="122" spans="1:65" ht="39.75" thickTop="1" thickBot="1">
      <c r="A122" s="1066"/>
      <c r="B122" s="1066"/>
      <c r="C122" s="1066"/>
      <c r="D122" s="1082"/>
      <c r="E122" s="1077"/>
      <c r="F122" s="1077"/>
      <c r="G122" s="1078"/>
      <c r="H122" s="1067" t="str">
        <f>+'Anexo 1 Matriz Inf Gestión-GD'!A126</f>
        <v>Proyecto 3205.01 Fortalecimiento del proceso de Ordenamiento Territorial como estrategia  para promover el  desarrollo terrirorial sostenible, en el dpto del Cesar.</v>
      </c>
      <c r="I122" s="1068">
        <f>SUM(I123:I126)</f>
        <v>0</v>
      </c>
      <c r="J122" s="1068">
        <f t="shared" ref="J122:AL122" si="584">SUM(J123:J126)</f>
        <v>0</v>
      </c>
      <c r="K122" s="1068">
        <f t="shared" si="584"/>
        <v>0</v>
      </c>
      <c r="L122" s="1068">
        <f t="shared" si="584"/>
        <v>0</v>
      </c>
      <c r="M122" s="1068">
        <f t="shared" si="584"/>
        <v>0</v>
      </c>
      <c r="N122" s="1068">
        <f t="shared" si="584"/>
        <v>0</v>
      </c>
      <c r="O122" s="1068">
        <f t="shared" si="584"/>
        <v>0</v>
      </c>
      <c r="P122" s="1068">
        <f t="shared" si="584"/>
        <v>0</v>
      </c>
      <c r="Q122" s="1068">
        <f t="shared" si="584"/>
        <v>0</v>
      </c>
      <c r="R122" s="1068">
        <f t="shared" si="584"/>
        <v>0</v>
      </c>
      <c r="S122" s="1068">
        <f t="shared" si="584"/>
        <v>0</v>
      </c>
      <c r="T122" s="1068">
        <f t="shared" si="584"/>
        <v>0</v>
      </c>
      <c r="U122" s="1068">
        <f t="shared" si="584"/>
        <v>0</v>
      </c>
      <c r="V122" s="1068">
        <f t="shared" si="584"/>
        <v>0</v>
      </c>
      <c r="W122" s="1068">
        <f t="shared" si="584"/>
        <v>0</v>
      </c>
      <c r="X122" s="1068">
        <f t="shared" si="584"/>
        <v>0</v>
      </c>
      <c r="Y122" s="1068">
        <f t="shared" si="584"/>
        <v>0</v>
      </c>
      <c r="Z122" s="1068">
        <f t="shared" si="584"/>
        <v>0</v>
      </c>
      <c r="AA122" s="1068">
        <f t="shared" si="584"/>
        <v>0</v>
      </c>
      <c r="AB122" s="1068">
        <f t="shared" si="584"/>
        <v>0</v>
      </c>
      <c r="AC122" s="1068">
        <f t="shared" si="584"/>
        <v>0</v>
      </c>
      <c r="AD122" s="1068">
        <f t="shared" si="584"/>
        <v>0</v>
      </c>
      <c r="AE122" s="1068">
        <f t="shared" si="584"/>
        <v>0</v>
      </c>
      <c r="AF122" s="1068">
        <f t="shared" si="584"/>
        <v>0</v>
      </c>
      <c r="AG122" s="1068">
        <f t="shared" si="584"/>
        <v>0</v>
      </c>
      <c r="AH122" s="1068">
        <f t="shared" si="584"/>
        <v>0</v>
      </c>
      <c r="AI122" s="1068">
        <f t="shared" si="584"/>
        <v>0</v>
      </c>
      <c r="AJ122" s="1068">
        <f t="shared" si="584"/>
        <v>0</v>
      </c>
      <c r="AK122" s="1068">
        <f t="shared" si="584"/>
        <v>0</v>
      </c>
      <c r="AL122" s="1068">
        <f t="shared" si="584"/>
        <v>0</v>
      </c>
      <c r="AM122" s="1068">
        <f t="shared" ref="AM122" si="585">SUM(AM123:AM126)</f>
        <v>0</v>
      </c>
      <c r="AN122" s="1068">
        <f t="shared" ref="AN122" si="586">SUM(AN123:AN126)</f>
        <v>0</v>
      </c>
      <c r="AO122" s="1068">
        <f t="shared" ref="AO122" si="587">SUM(AO123:AO126)</f>
        <v>0</v>
      </c>
      <c r="AP122" s="1068">
        <f t="shared" ref="AP122" si="588">SUM(AP123:AP126)</f>
        <v>0</v>
      </c>
      <c r="AQ122" s="1068">
        <f t="shared" ref="AQ122" si="589">SUM(AQ123:AQ126)</f>
        <v>0</v>
      </c>
      <c r="AR122" s="1068">
        <f t="shared" ref="AR122" si="590">SUM(AR123:AR126)</f>
        <v>0</v>
      </c>
      <c r="AS122" s="1068">
        <f t="shared" ref="AS122" si="591">SUM(AS123:AS126)</f>
        <v>0</v>
      </c>
      <c r="AT122" s="1068">
        <f t="shared" ref="AT122" si="592">SUM(AT123:AT126)</f>
        <v>0</v>
      </c>
      <c r="AU122" s="1068">
        <f t="shared" ref="AU122" si="593">SUM(AU123:AU126)</f>
        <v>0</v>
      </c>
      <c r="AV122" s="1068">
        <f t="shared" ref="AV122" si="594">SUM(AV123:AV126)</f>
        <v>0</v>
      </c>
      <c r="AW122" s="1068">
        <f t="shared" ref="AW122" si="595">SUM(AW123:AW126)</f>
        <v>0</v>
      </c>
      <c r="AX122" s="1068">
        <f t="shared" ref="AX122" si="596">SUM(AX123:AX126)</f>
        <v>0</v>
      </c>
      <c r="AY122" s="1068">
        <f t="shared" ref="AY122" si="597">SUM(AY123:AY126)</f>
        <v>0</v>
      </c>
      <c r="AZ122" s="1068">
        <f t="shared" ref="AZ122" si="598">SUM(AZ123:AZ126)</f>
        <v>0</v>
      </c>
      <c r="BA122" s="1068">
        <f t="shared" ref="BA122" si="599">SUM(BA123:BA126)</f>
        <v>0</v>
      </c>
      <c r="BB122" s="1068">
        <f t="shared" ref="BB122" si="600">SUM(BB123:BB126)</f>
        <v>0</v>
      </c>
      <c r="BC122" s="1068">
        <f t="shared" ref="BC122" si="601">SUM(BC123:BC126)</f>
        <v>0</v>
      </c>
      <c r="BD122" s="1068">
        <f t="shared" ref="BD122" si="602">SUM(BD123:BD126)</f>
        <v>0</v>
      </c>
      <c r="BE122" s="1068">
        <f t="shared" ref="BE122" si="603">SUM(BE123:BE126)</f>
        <v>0</v>
      </c>
      <c r="BF122" s="1068">
        <f t="shared" ref="BF122" si="604">SUM(BF123:BF126)</f>
        <v>0</v>
      </c>
      <c r="BG122" s="1068">
        <f t="shared" ref="BG122" si="605">SUM(BG123:BG126)</f>
        <v>0</v>
      </c>
      <c r="BH122" s="1068">
        <f t="shared" ref="BH122" si="606">SUM(BH123:BH126)</f>
        <v>0</v>
      </c>
      <c r="BI122" s="1069">
        <f t="shared" si="373"/>
        <v>0</v>
      </c>
      <c r="BJ122" s="1069">
        <f t="shared" si="374"/>
        <v>0</v>
      </c>
      <c r="BK122" s="1069">
        <f t="shared" si="375"/>
        <v>0</v>
      </c>
      <c r="BL122" s="1069">
        <f t="shared" si="376"/>
        <v>0</v>
      </c>
      <c r="BM122" s="1070"/>
    </row>
    <row r="123" spans="1:65" ht="27" thickTop="1" thickBot="1">
      <c r="A123" s="509"/>
      <c r="B123" s="509"/>
      <c r="C123" s="511"/>
      <c r="D123" s="511"/>
      <c r="E123" s="510"/>
      <c r="F123" s="510"/>
      <c r="G123" s="509"/>
      <c r="H123" s="1071" t="str">
        <f>+'Anexo 1 Matriz Inf Gestión-GD'!A127</f>
        <v>3205.01.01 Actualización de las determinantes ambientales para el Ordenamiento territorial (énfasis en cambio climático, GRD, suelo suburbano, EEP)</v>
      </c>
      <c r="I123" s="1072"/>
      <c r="J123" s="1072"/>
      <c r="K123" s="1072"/>
      <c r="L123" s="1072"/>
      <c r="M123" s="1072"/>
      <c r="N123" s="1072"/>
      <c r="O123" s="1072"/>
      <c r="P123" s="1072"/>
      <c r="Q123" s="1072"/>
      <c r="R123" s="1072"/>
      <c r="S123" s="1072"/>
      <c r="T123" s="1072"/>
      <c r="U123" s="1072"/>
      <c r="V123" s="1072"/>
      <c r="W123" s="1072"/>
      <c r="X123" s="1072"/>
      <c r="Y123" s="1072"/>
      <c r="Z123" s="1072"/>
      <c r="AA123" s="1072"/>
      <c r="AB123" s="1072"/>
      <c r="AC123" s="1072"/>
      <c r="AD123" s="1072"/>
      <c r="AE123" s="1072"/>
      <c r="AF123" s="1072"/>
      <c r="AG123" s="1072"/>
      <c r="AH123" s="1072"/>
      <c r="AI123" s="1072"/>
      <c r="AJ123" s="1072"/>
      <c r="AK123" s="1072"/>
      <c r="AL123" s="1072"/>
      <c r="AM123" s="1072"/>
      <c r="AN123" s="1072"/>
      <c r="AO123" s="1072"/>
      <c r="AP123" s="1072"/>
      <c r="AQ123" s="1072"/>
      <c r="AR123" s="1072"/>
      <c r="AS123" s="1072"/>
      <c r="AT123" s="1072"/>
      <c r="AU123" s="1072"/>
      <c r="AV123" s="1072"/>
      <c r="AW123" s="1072"/>
      <c r="AX123" s="1072"/>
      <c r="AY123" s="1072"/>
      <c r="AZ123" s="1072"/>
      <c r="BA123" s="1072"/>
      <c r="BB123" s="1072"/>
      <c r="BC123" s="1072"/>
      <c r="BD123" s="1072"/>
      <c r="BE123" s="1072"/>
      <c r="BF123" s="1072"/>
      <c r="BG123" s="1072"/>
      <c r="BH123" s="1072"/>
      <c r="BI123" s="1073">
        <f t="shared" si="373"/>
        <v>0</v>
      </c>
      <c r="BJ123" s="1073">
        <f t="shared" si="374"/>
        <v>0</v>
      </c>
      <c r="BK123" s="1073">
        <f t="shared" si="375"/>
        <v>0</v>
      </c>
      <c r="BL123" s="1073">
        <f t="shared" si="376"/>
        <v>0</v>
      </c>
      <c r="BM123" s="508"/>
    </row>
    <row r="124" spans="1:65" ht="27" thickTop="1" thickBot="1">
      <c r="A124" s="509"/>
      <c r="B124" s="509"/>
      <c r="C124" s="511"/>
      <c r="D124" s="511"/>
      <c r="E124" s="510"/>
      <c r="F124" s="510"/>
      <c r="G124" s="509"/>
      <c r="H124" s="1071" t="str">
        <f>+'Anexo 1 Matriz Inf Gestión-GD'!A128</f>
        <v>3205.01.02 Socialización y divulgación de las DA para el OT (cartografía temática compartida)</v>
      </c>
      <c r="I124" s="1072"/>
      <c r="J124" s="1072"/>
      <c r="K124" s="1072"/>
      <c r="L124" s="1072"/>
      <c r="M124" s="1072"/>
      <c r="N124" s="1072"/>
      <c r="O124" s="1072"/>
      <c r="P124" s="1072"/>
      <c r="Q124" s="1072"/>
      <c r="R124" s="1072"/>
      <c r="S124" s="1072"/>
      <c r="T124" s="1072"/>
      <c r="U124" s="1072"/>
      <c r="V124" s="1072"/>
      <c r="W124" s="1072"/>
      <c r="X124" s="1072"/>
      <c r="Y124" s="1072"/>
      <c r="Z124" s="1072"/>
      <c r="AA124" s="1072"/>
      <c r="AB124" s="1072"/>
      <c r="AC124" s="1072"/>
      <c r="AD124" s="1072"/>
      <c r="AE124" s="1072"/>
      <c r="AF124" s="1072"/>
      <c r="AG124" s="1072"/>
      <c r="AH124" s="1072"/>
      <c r="AI124" s="1072"/>
      <c r="AJ124" s="1072"/>
      <c r="AK124" s="1072"/>
      <c r="AL124" s="1072"/>
      <c r="AM124" s="1072"/>
      <c r="AN124" s="1072"/>
      <c r="AO124" s="1072"/>
      <c r="AP124" s="1072"/>
      <c r="AQ124" s="1072"/>
      <c r="AR124" s="1072"/>
      <c r="AS124" s="1072"/>
      <c r="AT124" s="1072"/>
      <c r="AU124" s="1072"/>
      <c r="AV124" s="1072"/>
      <c r="AW124" s="1072"/>
      <c r="AX124" s="1072"/>
      <c r="AY124" s="1072"/>
      <c r="AZ124" s="1072"/>
      <c r="BA124" s="1072"/>
      <c r="BB124" s="1072"/>
      <c r="BC124" s="1072"/>
      <c r="BD124" s="1072"/>
      <c r="BE124" s="1072"/>
      <c r="BF124" s="1072"/>
      <c r="BG124" s="1072"/>
      <c r="BH124" s="1072"/>
      <c r="BI124" s="1073">
        <f t="shared" si="373"/>
        <v>0</v>
      </c>
      <c r="BJ124" s="1073">
        <f t="shared" si="374"/>
        <v>0</v>
      </c>
      <c r="BK124" s="1073">
        <f t="shared" si="375"/>
        <v>0</v>
      </c>
      <c r="BL124" s="1073">
        <f t="shared" si="376"/>
        <v>0</v>
      </c>
      <c r="BM124" s="508"/>
    </row>
    <row r="125" spans="1:65" ht="39.75" thickTop="1" thickBot="1">
      <c r="A125" s="509"/>
      <c r="B125" s="509"/>
      <c r="C125" s="511"/>
      <c r="D125" s="511"/>
      <c r="E125" s="510"/>
      <c r="F125" s="510"/>
      <c r="G125" s="509"/>
      <c r="H125" s="1071" t="str">
        <f>+'Anexo 1 Matriz Inf Gestión-GD'!A129</f>
        <v>3205.01.03 Fortalecimiento operativo del proceso de evaluación (verificación de componentes claves del diagnóstico territorial descrito en el DTS del proyecto de revisión y/o ajuste del POT).</v>
      </c>
      <c r="I125" s="1072"/>
      <c r="J125" s="1072"/>
      <c r="K125" s="1072"/>
      <c r="L125" s="1072"/>
      <c r="M125" s="1072"/>
      <c r="N125" s="1072"/>
      <c r="O125" s="1072"/>
      <c r="P125" s="1072"/>
      <c r="Q125" s="1072"/>
      <c r="R125" s="1072"/>
      <c r="S125" s="1072"/>
      <c r="T125" s="1072"/>
      <c r="U125" s="1072"/>
      <c r="V125" s="1072"/>
      <c r="W125" s="1072"/>
      <c r="X125" s="1072"/>
      <c r="Y125" s="1072"/>
      <c r="Z125" s="1072"/>
      <c r="AA125" s="1072"/>
      <c r="AB125" s="1072"/>
      <c r="AC125" s="1072"/>
      <c r="AD125" s="1072"/>
      <c r="AE125" s="1072"/>
      <c r="AF125" s="1072"/>
      <c r="AG125" s="1072"/>
      <c r="AH125" s="1072"/>
      <c r="AI125" s="1072"/>
      <c r="AJ125" s="1072"/>
      <c r="AK125" s="1072"/>
      <c r="AL125" s="1072"/>
      <c r="AM125" s="1072"/>
      <c r="AN125" s="1072"/>
      <c r="AO125" s="1072"/>
      <c r="AP125" s="1072"/>
      <c r="AQ125" s="1072"/>
      <c r="AR125" s="1072"/>
      <c r="AS125" s="1072"/>
      <c r="AT125" s="1072"/>
      <c r="AU125" s="1072"/>
      <c r="AV125" s="1072"/>
      <c r="AW125" s="1072"/>
      <c r="AX125" s="1072"/>
      <c r="AY125" s="1072"/>
      <c r="AZ125" s="1072"/>
      <c r="BA125" s="1072"/>
      <c r="BB125" s="1072"/>
      <c r="BC125" s="1072"/>
      <c r="BD125" s="1072"/>
      <c r="BE125" s="1072"/>
      <c r="BF125" s="1072"/>
      <c r="BG125" s="1072"/>
      <c r="BH125" s="1072"/>
      <c r="BI125" s="1073">
        <f t="shared" si="373"/>
        <v>0</v>
      </c>
      <c r="BJ125" s="1073">
        <f t="shared" si="374"/>
        <v>0</v>
      </c>
      <c r="BK125" s="1073">
        <f t="shared" si="375"/>
        <v>0</v>
      </c>
      <c r="BL125" s="1073">
        <f t="shared" si="376"/>
        <v>0</v>
      </c>
      <c r="BM125" s="508"/>
    </row>
    <row r="126" spans="1:65" ht="27" thickTop="1" thickBot="1">
      <c r="A126" s="509"/>
      <c r="B126" s="509"/>
      <c r="C126" s="511"/>
      <c r="D126" s="511"/>
      <c r="E126" s="510"/>
      <c r="F126" s="510"/>
      <c r="G126" s="509"/>
      <c r="H126" s="1071" t="str">
        <f>+'Anexo 1 Matriz Inf Gestión-GD'!A130</f>
        <v>3205.01.04 Control, Seguimiento y evaluación de los asuntos ambientales concertados en el proceso de revisión y/o ajustes de los POT, PBOT y EOT del Cesar</v>
      </c>
      <c r="I126" s="1072"/>
      <c r="J126" s="1072"/>
      <c r="K126" s="1072"/>
      <c r="L126" s="1072"/>
      <c r="M126" s="1072"/>
      <c r="N126" s="1072"/>
      <c r="O126" s="1072"/>
      <c r="P126" s="1072"/>
      <c r="Q126" s="1072"/>
      <c r="R126" s="1072"/>
      <c r="S126" s="1072"/>
      <c r="T126" s="1072"/>
      <c r="U126" s="1072"/>
      <c r="V126" s="1072"/>
      <c r="W126" s="1072"/>
      <c r="X126" s="1072"/>
      <c r="Y126" s="1072"/>
      <c r="Z126" s="1072"/>
      <c r="AA126" s="1072"/>
      <c r="AB126" s="1072"/>
      <c r="AC126" s="1072"/>
      <c r="AD126" s="1072"/>
      <c r="AE126" s="1072"/>
      <c r="AF126" s="1072"/>
      <c r="AG126" s="1072"/>
      <c r="AH126" s="1072"/>
      <c r="AI126" s="1072"/>
      <c r="AJ126" s="1072"/>
      <c r="AK126" s="1072"/>
      <c r="AL126" s="1072"/>
      <c r="AM126" s="1072"/>
      <c r="AN126" s="1072"/>
      <c r="AO126" s="1072"/>
      <c r="AP126" s="1072"/>
      <c r="AQ126" s="1072"/>
      <c r="AR126" s="1072"/>
      <c r="AS126" s="1072"/>
      <c r="AT126" s="1072"/>
      <c r="AU126" s="1072"/>
      <c r="AV126" s="1072"/>
      <c r="AW126" s="1072"/>
      <c r="AX126" s="1072"/>
      <c r="AY126" s="1072"/>
      <c r="AZ126" s="1072"/>
      <c r="BA126" s="1072"/>
      <c r="BB126" s="1072"/>
      <c r="BC126" s="1072"/>
      <c r="BD126" s="1072"/>
      <c r="BE126" s="1072"/>
      <c r="BF126" s="1072"/>
      <c r="BG126" s="1072"/>
      <c r="BH126" s="1072"/>
      <c r="BI126" s="1073">
        <f t="shared" si="373"/>
        <v>0</v>
      </c>
      <c r="BJ126" s="1073">
        <f t="shared" si="374"/>
        <v>0</v>
      </c>
      <c r="BK126" s="1073">
        <f t="shared" si="375"/>
        <v>0</v>
      </c>
      <c r="BL126" s="1073">
        <f t="shared" si="376"/>
        <v>0</v>
      </c>
      <c r="BM126" s="508"/>
    </row>
    <row r="127" spans="1:65" ht="27" thickTop="1" thickBot="1">
      <c r="A127" s="1066"/>
      <c r="B127" s="1066"/>
      <c r="C127" s="1066"/>
      <c r="D127" s="1082"/>
      <c r="E127" s="1077"/>
      <c r="F127" s="1077"/>
      <c r="G127" s="1078"/>
      <c r="H127" s="1067" t="str">
        <f>+'Anexo 1 Matriz Inf Gestión-GD'!A131</f>
        <v>Proyecto 3205.02 Asistencia técnica a todos los municipios de la jurisdicción en los procesos de revisión y ajuste de los POT, siguiendo guias del SINA</v>
      </c>
      <c r="I127" s="1068">
        <f>SUM(I128:I131)</f>
        <v>0</v>
      </c>
      <c r="J127" s="1068">
        <f t="shared" ref="J127:AL127" si="607">SUM(J128:J131)</f>
        <v>0</v>
      </c>
      <c r="K127" s="1068">
        <f t="shared" si="607"/>
        <v>0</v>
      </c>
      <c r="L127" s="1068">
        <f t="shared" si="607"/>
        <v>0</v>
      </c>
      <c r="M127" s="1068">
        <f t="shared" si="607"/>
        <v>0</v>
      </c>
      <c r="N127" s="1068">
        <f t="shared" si="607"/>
        <v>0</v>
      </c>
      <c r="O127" s="1068">
        <f t="shared" si="607"/>
        <v>0</v>
      </c>
      <c r="P127" s="1068">
        <f t="shared" si="607"/>
        <v>0</v>
      </c>
      <c r="Q127" s="1068">
        <f t="shared" si="607"/>
        <v>0</v>
      </c>
      <c r="R127" s="1068">
        <f t="shared" si="607"/>
        <v>0</v>
      </c>
      <c r="S127" s="1068">
        <f t="shared" si="607"/>
        <v>0</v>
      </c>
      <c r="T127" s="1068">
        <f t="shared" si="607"/>
        <v>0</v>
      </c>
      <c r="U127" s="1068">
        <f t="shared" si="607"/>
        <v>0</v>
      </c>
      <c r="V127" s="1068">
        <f t="shared" si="607"/>
        <v>0</v>
      </c>
      <c r="W127" s="1068">
        <f t="shared" si="607"/>
        <v>0</v>
      </c>
      <c r="X127" s="1068">
        <f t="shared" si="607"/>
        <v>0</v>
      </c>
      <c r="Y127" s="1068">
        <f t="shared" si="607"/>
        <v>0</v>
      </c>
      <c r="Z127" s="1068">
        <f t="shared" si="607"/>
        <v>0</v>
      </c>
      <c r="AA127" s="1068">
        <f t="shared" si="607"/>
        <v>0</v>
      </c>
      <c r="AB127" s="1068">
        <f t="shared" si="607"/>
        <v>0</v>
      </c>
      <c r="AC127" s="1068">
        <f t="shared" si="607"/>
        <v>0</v>
      </c>
      <c r="AD127" s="1068">
        <f t="shared" si="607"/>
        <v>0</v>
      </c>
      <c r="AE127" s="1068">
        <f t="shared" si="607"/>
        <v>0</v>
      </c>
      <c r="AF127" s="1068">
        <f t="shared" si="607"/>
        <v>0</v>
      </c>
      <c r="AG127" s="1068">
        <f t="shared" si="607"/>
        <v>0</v>
      </c>
      <c r="AH127" s="1068">
        <f t="shared" si="607"/>
        <v>0</v>
      </c>
      <c r="AI127" s="1068">
        <f t="shared" si="607"/>
        <v>0</v>
      </c>
      <c r="AJ127" s="1068">
        <f t="shared" si="607"/>
        <v>0</v>
      </c>
      <c r="AK127" s="1068">
        <f t="shared" si="607"/>
        <v>0</v>
      </c>
      <c r="AL127" s="1068">
        <f t="shared" si="607"/>
        <v>0</v>
      </c>
      <c r="AM127" s="1068">
        <f t="shared" ref="AM127" si="608">SUM(AM128:AM131)</f>
        <v>0</v>
      </c>
      <c r="AN127" s="1068">
        <f t="shared" ref="AN127" si="609">SUM(AN128:AN131)</f>
        <v>0</v>
      </c>
      <c r="AO127" s="1068">
        <f t="shared" ref="AO127" si="610">SUM(AO128:AO131)</f>
        <v>0</v>
      </c>
      <c r="AP127" s="1068">
        <f t="shared" ref="AP127" si="611">SUM(AP128:AP131)</f>
        <v>0</v>
      </c>
      <c r="AQ127" s="1068">
        <f t="shared" ref="AQ127" si="612">SUM(AQ128:AQ131)</f>
        <v>0</v>
      </c>
      <c r="AR127" s="1068">
        <f t="shared" ref="AR127" si="613">SUM(AR128:AR131)</f>
        <v>0</v>
      </c>
      <c r="AS127" s="1068">
        <f t="shared" ref="AS127" si="614">SUM(AS128:AS131)</f>
        <v>0</v>
      </c>
      <c r="AT127" s="1068">
        <f t="shared" ref="AT127" si="615">SUM(AT128:AT131)</f>
        <v>0</v>
      </c>
      <c r="AU127" s="1068">
        <f t="shared" ref="AU127" si="616">SUM(AU128:AU131)</f>
        <v>0</v>
      </c>
      <c r="AV127" s="1068">
        <f t="shared" ref="AV127" si="617">SUM(AV128:AV131)</f>
        <v>0</v>
      </c>
      <c r="AW127" s="1068">
        <f t="shared" ref="AW127" si="618">SUM(AW128:AW131)</f>
        <v>0</v>
      </c>
      <c r="AX127" s="1068">
        <f t="shared" ref="AX127" si="619">SUM(AX128:AX131)</f>
        <v>0</v>
      </c>
      <c r="AY127" s="1068">
        <f t="shared" ref="AY127" si="620">SUM(AY128:AY131)</f>
        <v>0</v>
      </c>
      <c r="AZ127" s="1068">
        <f t="shared" ref="AZ127" si="621">SUM(AZ128:AZ131)</f>
        <v>0</v>
      </c>
      <c r="BA127" s="1068">
        <f t="shared" ref="BA127" si="622">SUM(BA128:BA131)</f>
        <v>0</v>
      </c>
      <c r="BB127" s="1068">
        <f t="shared" ref="BB127" si="623">SUM(BB128:BB131)</f>
        <v>0</v>
      </c>
      <c r="BC127" s="1068">
        <f t="shared" ref="BC127" si="624">SUM(BC128:BC131)</f>
        <v>0</v>
      </c>
      <c r="BD127" s="1068">
        <f t="shared" ref="BD127" si="625">SUM(BD128:BD131)</f>
        <v>0</v>
      </c>
      <c r="BE127" s="1068">
        <f t="shared" ref="BE127" si="626">SUM(BE128:BE131)</f>
        <v>0</v>
      </c>
      <c r="BF127" s="1068">
        <f t="shared" ref="BF127" si="627">SUM(BF128:BF131)</f>
        <v>0</v>
      </c>
      <c r="BG127" s="1068">
        <f t="shared" ref="BG127" si="628">SUM(BG128:BG131)</f>
        <v>0</v>
      </c>
      <c r="BH127" s="1068">
        <f t="shared" ref="BH127" si="629">SUM(BH128:BH131)</f>
        <v>0</v>
      </c>
      <c r="BI127" s="1069">
        <f t="shared" si="373"/>
        <v>0</v>
      </c>
      <c r="BJ127" s="1069">
        <f t="shared" si="374"/>
        <v>0</v>
      </c>
      <c r="BK127" s="1069">
        <f t="shared" si="375"/>
        <v>0</v>
      </c>
      <c r="BL127" s="1069">
        <f t="shared" si="376"/>
        <v>0</v>
      </c>
      <c r="BM127" s="1070"/>
    </row>
    <row r="128" spans="1:65" ht="52.5" thickTop="1" thickBot="1">
      <c r="A128" s="509"/>
      <c r="B128" s="509"/>
      <c r="C128" s="509"/>
      <c r="D128" s="1086"/>
      <c r="E128" s="510"/>
      <c r="F128" s="510"/>
      <c r="G128" s="510"/>
      <c r="H128" s="1071" t="str">
        <f>+'Anexo 1 Matriz Inf Gestión-GD'!A132</f>
        <v>3205.02.01 Capacitación o asistencia técnica a los ETM, en todos los temas asociados al proceso de revisión de los POT (incluye perfil climático municipal y gestión del CC, GRD, desarrollo urbano sostenible, Expediente municipal del POT, UPR, planes parciales).</v>
      </c>
      <c r="I128" s="1072"/>
      <c r="J128" s="1072"/>
      <c r="K128" s="1072"/>
      <c r="L128" s="1072"/>
      <c r="M128" s="1072"/>
      <c r="N128" s="1072"/>
      <c r="O128" s="1072"/>
      <c r="P128" s="1072"/>
      <c r="Q128" s="1072"/>
      <c r="R128" s="1072"/>
      <c r="S128" s="1072"/>
      <c r="T128" s="1072"/>
      <c r="U128" s="1072"/>
      <c r="V128" s="1072"/>
      <c r="W128" s="1072"/>
      <c r="X128" s="1072"/>
      <c r="Y128" s="1072"/>
      <c r="Z128" s="1072"/>
      <c r="AA128" s="1072"/>
      <c r="AB128" s="1072"/>
      <c r="AC128" s="1072"/>
      <c r="AD128" s="1072"/>
      <c r="AE128" s="1072"/>
      <c r="AF128" s="1072"/>
      <c r="AG128" s="1072"/>
      <c r="AH128" s="1072"/>
      <c r="AI128" s="1072"/>
      <c r="AJ128" s="1072"/>
      <c r="AK128" s="1072"/>
      <c r="AL128" s="1072"/>
      <c r="AM128" s="1072"/>
      <c r="AN128" s="1072"/>
      <c r="AO128" s="1072"/>
      <c r="AP128" s="1072"/>
      <c r="AQ128" s="1072"/>
      <c r="AR128" s="1072"/>
      <c r="AS128" s="1072"/>
      <c r="AT128" s="1072"/>
      <c r="AU128" s="1072"/>
      <c r="AV128" s="1072"/>
      <c r="AW128" s="1072"/>
      <c r="AX128" s="1072"/>
      <c r="AY128" s="1072"/>
      <c r="AZ128" s="1072"/>
      <c r="BA128" s="1072"/>
      <c r="BB128" s="1072"/>
      <c r="BC128" s="1072"/>
      <c r="BD128" s="1072"/>
      <c r="BE128" s="1072"/>
      <c r="BF128" s="1072"/>
      <c r="BG128" s="1072"/>
      <c r="BH128" s="1072"/>
      <c r="BI128" s="1073">
        <f t="shared" si="373"/>
        <v>0</v>
      </c>
      <c r="BJ128" s="1073">
        <f t="shared" si="374"/>
        <v>0</v>
      </c>
      <c r="BK128" s="1073">
        <f t="shared" si="375"/>
        <v>0</v>
      </c>
      <c r="BL128" s="1073">
        <f t="shared" si="376"/>
        <v>0</v>
      </c>
      <c r="BM128" s="508"/>
    </row>
    <row r="129" spans="1:65" ht="27" thickTop="1" thickBot="1">
      <c r="A129" s="509"/>
      <c r="B129" s="509"/>
      <c r="C129" s="509"/>
      <c r="D129" s="1086"/>
      <c r="E129" s="510"/>
      <c r="F129" s="510"/>
      <c r="G129" s="510"/>
      <c r="H129" s="1071" t="str">
        <f>+'Anexo 1 Matriz Inf Gestión-GD'!A133</f>
        <v>3205.02.03 Apoyo a los municipios PDET en la Incorporación de la zonificación ambiental en la planeación del desarrollo territorial (POT y PDM)</v>
      </c>
      <c r="I129" s="1072">
        <f t="shared" ref="I129:BH129" si="630">+I130</f>
        <v>0</v>
      </c>
      <c r="J129" s="1072">
        <f t="shared" si="630"/>
        <v>0</v>
      </c>
      <c r="K129" s="1072">
        <f t="shared" si="630"/>
        <v>0</v>
      </c>
      <c r="L129" s="1072">
        <f t="shared" si="630"/>
        <v>0</v>
      </c>
      <c r="M129" s="1072">
        <f t="shared" si="630"/>
        <v>0</v>
      </c>
      <c r="N129" s="1072">
        <f t="shared" si="630"/>
        <v>0</v>
      </c>
      <c r="O129" s="1072">
        <f t="shared" si="630"/>
        <v>0</v>
      </c>
      <c r="P129" s="1072">
        <f t="shared" si="630"/>
        <v>0</v>
      </c>
      <c r="Q129" s="1072">
        <f t="shared" si="630"/>
        <v>0</v>
      </c>
      <c r="R129" s="1072">
        <f t="shared" si="630"/>
        <v>0</v>
      </c>
      <c r="S129" s="1072">
        <f t="shared" si="630"/>
        <v>0</v>
      </c>
      <c r="T129" s="1072">
        <f t="shared" si="630"/>
        <v>0</v>
      </c>
      <c r="U129" s="1072">
        <f t="shared" si="630"/>
        <v>0</v>
      </c>
      <c r="V129" s="1072">
        <f t="shared" si="630"/>
        <v>0</v>
      </c>
      <c r="W129" s="1072">
        <f t="shared" si="630"/>
        <v>0</v>
      </c>
      <c r="X129" s="1072">
        <f t="shared" si="630"/>
        <v>0</v>
      </c>
      <c r="Y129" s="1072">
        <f t="shared" si="630"/>
        <v>0</v>
      </c>
      <c r="Z129" s="1072">
        <f t="shared" si="630"/>
        <v>0</v>
      </c>
      <c r="AA129" s="1072">
        <f t="shared" si="630"/>
        <v>0</v>
      </c>
      <c r="AB129" s="1072">
        <f t="shared" si="630"/>
        <v>0</v>
      </c>
      <c r="AC129" s="1072">
        <f t="shared" si="630"/>
        <v>0</v>
      </c>
      <c r="AD129" s="1072">
        <f t="shared" si="630"/>
        <v>0</v>
      </c>
      <c r="AE129" s="1072">
        <f t="shared" si="630"/>
        <v>0</v>
      </c>
      <c r="AF129" s="1072">
        <f t="shared" si="630"/>
        <v>0</v>
      </c>
      <c r="AG129" s="1072">
        <f t="shared" si="630"/>
        <v>0</v>
      </c>
      <c r="AH129" s="1072">
        <f t="shared" si="630"/>
        <v>0</v>
      </c>
      <c r="AI129" s="1072">
        <f t="shared" si="630"/>
        <v>0</v>
      </c>
      <c r="AJ129" s="1072">
        <f t="shared" si="630"/>
        <v>0</v>
      </c>
      <c r="AK129" s="1072">
        <f t="shared" si="630"/>
        <v>0</v>
      </c>
      <c r="AL129" s="1072">
        <f t="shared" si="630"/>
        <v>0</v>
      </c>
      <c r="AM129" s="1072">
        <f t="shared" si="630"/>
        <v>0</v>
      </c>
      <c r="AN129" s="1072">
        <f t="shared" si="630"/>
        <v>0</v>
      </c>
      <c r="AO129" s="1072">
        <f t="shared" si="630"/>
        <v>0</v>
      </c>
      <c r="AP129" s="1072">
        <f t="shared" si="630"/>
        <v>0</v>
      </c>
      <c r="AQ129" s="1072">
        <f t="shared" si="630"/>
        <v>0</v>
      </c>
      <c r="AR129" s="1072">
        <f t="shared" si="630"/>
        <v>0</v>
      </c>
      <c r="AS129" s="1072">
        <f t="shared" si="630"/>
        <v>0</v>
      </c>
      <c r="AT129" s="1072">
        <f t="shared" si="630"/>
        <v>0</v>
      </c>
      <c r="AU129" s="1072">
        <f t="shared" si="630"/>
        <v>0</v>
      </c>
      <c r="AV129" s="1072">
        <f t="shared" si="630"/>
        <v>0</v>
      </c>
      <c r="AW129" s="1072">
        <f t="shared" si="630"/>
        <v>0</v>
      </c>
      <c r="AX129" s="1072">
        <f t="shared" si="630"/>
        <v>0</v>
      </c>
      <c r="AY129" s="1072">
        <f t="shared" si="630"/>
        <v>0</v>
      </c>
      <c r="AZ129" s="1072">
        <f t="shared" si="630"/>
        <v>0</v>
      </c>
      <c r="BA129" s="1072">
        <f t="shared" si="630"/>
        <v>0</v>
      </c>
      <c r="BB129" s="1072">
        <f t="shared" si="630"/>
        <v>0</v>
      </c>
      <c r="BC129" s="1072">
        <f t="shared" si="630"/>
        <v>0</v>
      </c>
      <c r="BD129" s="1072">
        <f t="shared" si="630"/>
        <v>0</v>
      </c>
      <c r="BE129" s="1072">
        <f t="shared" si="630"/>
        <v>0</v>
      </c>
      <c r="BF129" s="1072">
        <f t="shared" si="630"/>
        <v>0</v>
      </c>
      <c r="BG129" s="1072">
        <f t="shared" si="630"/>
        <v>0</v>
      </c>
      <c r="BH129" s="1072">
        <f t="shared" si="630"/>
        <v>0</v>
      </c>
      <c r="BI129" s="1073">
        <f t="shared" si="373"/>
        <v>0</v>
      </c>
      <c r="BJ129" s="1073">
        <f t="shared" si="374"/>
        <v>0</v>
      </c>
      <c r="BK129" s="1073">
        <f t="shared" si="375"/>
        <v>0</v>
      </c>
      <c r="BL129" s="1073">
        <f t="shared" si="376"/>
        <v>0</v>
      </c>
      <c r="BM129" s="508"/>
    </row>
    <row r="130" spans="1:65" ht="27" thickTop="1" thickBot="1">
      <c r="A130" s="509"/>
      <c r="B130" s="509"/>
      <c r="C130" s="509"/>
      <c r="D130" s="1086"/>
      <c r="E130" s="510"/>
      <c r="F130" s="510"/>
      <c r="G130" s="510"/>
      <c r="H130" s="1071" t="str">
        <f>+'Anexo 1 Matriz Inf Gestión-GD'!A134</f>
        <v>3205.02.02 Apoyo y orientación a demás actores del proceso de revisión y ajuste de los POT (CTP, concejales, gremios, IGAC).</v>
      </c>
      <c r="I130" s="1072">
        <f t="shared" ref="I130" si="631">+I131+I137+I144+I149</f>
        <v>0</v>
      </c>
      <c r="J130" s="1072">
        <f t="shared" ref="J130:AL130" si="632">+J131+J137+J144+J149</f>
        <v>0</v>
      </c>
      <c r="K130" s="1072">
        <f t="shared" si="632"/>
        <v>0</v>
      </c>
      <c r="L130" s="1072">
        <f t="shared" si="632"/>
        <v>0</v>
      </c>
      <c r="M130" s="1072">
        <f t="shared" si="632"/>
        <v>0</v>
      </c>
      <c r="N130" s="1072">
        <f t="shared" si="632"/>
        <v>0</v>
      </c>
      <c r="O130" s="1072">
        <f t="shared" si="632"/>
        <v>0</v>
      </c>
      <c r="P130" s="1072">
        <f t="shared" si="632"/>
        <v>0</v>
      </c>
      <c r="Q130" s="1072">
        <f t="shared" si="632"/>
        <v>0</v>
      </c>
      <c r="R130" s="1072">
        <f t="shared" si="632"/>
        <v>0</v>
      </c>
      <c r="S130" s="1072">
        <f t="shared" si="632"/>
        <v>0</v>
      </c>
      <c r="T130" s="1072">
        <f t="shared" si="632"/>
        <v>0</v>
      </c>
      <c r="U130" s="1072">
        <f t="shared" si="632"/>
        <v>0</v>
      </c>
      <c r="V130" s="1072">
        <f t="shared" si="632"/>
        <v>0</v>
      </c>
      <c r="W130" s="1072">
        <f t="shared" si="632"/>
        <v>0</v>
      </c>
      <c r="X130" s="1072">
        <f t="shared" si="632"/>
        <v>0</v>
      </c>
      <c r="Y130" s="1072">
        <f t="shared" si="632"/>
        <v>0</v>
      </c>
      <c r="Z130" s="1072">
        <f t="shared" si="632"/>
        <v>0</v>
      </c>
      <c r="AA130" s="1072">
        <f t="shared" si="632"/>
        <v>0</v>
      </c>
      <c r="AB130" s="1072">
        <f t="shared" si="632"/>
        <v>0</v>
      </c>
      <c r="AC130" s="1072">
        <f t="shared" si="632"/>
        <v>0</v>
      </c>
      <c r="AD130" s="1072">
        <f t="shared" si="632"/>
        <v>0</v>
      </c>
      <c r="AE130" s="1072">
        <f t="shared" si="632"/>
        <v>0</v>
      </c>
      <c r="AF130" s="1072">
        <f t="shared" si="632"/>
        <v>0</v>
      </c>
      <c r="AG130" s="1072">
        <f t="shared" si="632"/>
        <v>0</v>
      </c>
      <c r="AH130" s="1072">
        <f t="shared" si="632"/>
        <v>0</v>
      </c>
      <c r="AI130" s="1072">
        <f t="shared" si="632"/>
        <v>0</v>
      </c>
      <c r="AJ130" s="1072">
        <f t="shared" si="632"/>
        <v>0</v>
      </c>
      <c r="AK130" s="1072">
        <f t="shared" si="632"/>
        <v>0</v>
      </c>
      <c r="AL130" s="1072">
        <f t="shared" si="632"/>
        <v>0</v>
      </c>
      <c r="AM130" s="1072">
        <f t="shared" ref="AM130:BH130" si="633">+AM131+AM137+AM144+AM149</f>
        <v>0</v>
      </c>
      <c r="AN130" s="1072">
        <f t="shared" si="633"/>
        <v>0</v>
      </c>
      <c r="AO130" s="1072">
        <f t="shared" si="633"/>
        <v>0</v>
      </c>
      <c r="AP130" s="1072">
        <f t="shared" si="633"/>
        <v>0</v>
      </c>
      <c r="AQ130" s="1072">
        <f t="shared" si="633"/>
        <v>0</v>
      </c>
      <c r="AR130" s="1072">
        <f t="shared" si="633"/>
        <v>0</v>
      </c>
      <c r="AS130" s="1072">
        <f t="shared" si="633"/>
        <v>0</v>
      </c>
      <c r="AT130" s="1072">
        <f t="shared" si="633"/>
        <v>0</v>
      </c>
      <c r="AU130" s="1072">
        <f t="shared" si="633"/>
        <v>0</v>
      </c>
      <c r="AV130" s="1072">
        <f t="shared" si="633"/>
        <v>0</v>
      </c>
      <c r="AW130" s="1072">
        <f t="shared" si="633"/>
        <v>0</v>
      </c>
      <c r="AX130" s="1072">
        <f t="shared" si="633"/>
        <v>0</v>
      </c>
      <c r="AY130" s="1072">
        <f t="shared" si="633"/>
        <v>0</v>
      </c>
      <c r="AZ130" s="1072">
        <f t="shared" si="633"/>
        <v>0</v>
      </c>
      <c r="BA130" s="1072">
        <f t="shared" si="633"/>
        <v>0</v>
      </c>
      <c r="BB130" s="1072">
        <f t="shared" si="633"/>
        <v>0</v>
      </c>
      <c r="BC130" s="1072">
        <f t="shared" si="633"/>
        <v>0</v>
      </c>
      <c r="BD130" s="1072">
        <f t="shared" si="633"/>
        <v>0</v>
      </c>
      <c r="BE130" s="1072">
        <f t="shared" si="633"/>
        <v>0</v>
      </c>
      <c r="BF130" s="1072">
        <f t="shared" si="633"/>
        <v>0</v>
      </c>
      <c r="BG130" s="1072">
        <f t="shared" si="633"/>
        <v>0</v>
      </c>
      <c r="BH130" s="1072">
        <f t="shared" si="633"/>
        <v>0</v>
      </c>
      <c r="BI130" s="1073">
        <f t="shared" si="373"/>
        <v>0</v>
      </c>
      <c r="BJ130" s="1073">
        <f t="shared" si="374"/>
        <v>0</v>
      </c>
      <c r="BK130" s="1073">
        <f t="shared" si="375"/>
        <v>0</v>
      </c>
      <c r="BL130" s="1073">
        <f t="shared" si="376"/>
        <v>0</v>
      </c>
      <c r="BM130" s="508"/>
    </row>
    <row r="131" spans="1:65" ht="27" thickTop="1" thickBot="1">
      <c r="A131" s="509"/>
      <c r="B131" s="509"/>
      <c r="C131" s="509"/>
      <c r="D131" s="1086"/>
      <c r="E131" s="510"/>
      <c r="F131" s="510"/>
      <c r="G131" s="510"/>
      <c r="H131" s="1071" t="str">
        <f>+'Anexo 1 Matriz Inf Gestión-GD'!A135</f>
        <v>3205.02.04 Apoyo al SIG municipal a través del suministro de cartografía temática producida en Corpocesar por ETM.</v>
      </c>
      <c r="I131" s="1072">
        <f t="shared" ref="I131" si="634">SUM(I132:I136)</f>
        <v>0</v>
      </c>
      <c r="J131" s="1072">
        <f t="shared" ref="J131:AL131" si="635">SUM(J132:J136)</f>
        <v>0</v>
      </c>
      <c r="K131" s="1072">
        <f t="shared" si="635"/>
        <v>0</v>
      </c>
      <c r="L131" s="1072">
        <f t="shared" si="635"/>
        <v>0</v>
      </c>
      <c r="M131" s="1072">
        <f t="shared" si="635"/>
        <v>0</v>
      </c>
      <c r="N131" s="1072">
        <f t="shared" si="635"/>
        <v>0</v>
      </c>
      <c r="O131" s="1072">
        <f t="shared" si="635"/>
        <v>0</v>
      </c>
      <c r="P131" s="1072">
        <f t="shared" si="635"/>
        <v>0</v>
      </c>
      <c r="Q131" s="1072">
        <f t="shared" si="635"/>
        <v>0</v>
      </c>
      <c r="R131" s="1072">
        <f t="shared" si="635"/>
        <v>0</v>
      </c>
      <c r="S131" s="1072">
        <f t="shared" si="635"/>
        <v>0</v>
      </c>
      <c r="T131" s="1072">
        <f t="shared" si="635"/>
        <v>0</v>
      </c>
      <c r="U131" s="1072">
        <f t="shared" si="635"/>
        <v>0</v>
      </c>
      <c r="V131" s="1072">
        <f t="shared" si="635"/>
        <v>0</v>
      </c>
      <c r="W131" s="1072">
        <f t="shared" si="635"/>
        <v>0</v>
      </c>
      <c r="X131" s="1072">
        <f t="shared" si="635"/>
        <v>0</v>
      </c>
      <c r="Y131" s="1072">
        <f t="shared" si="635"/>
        <v>0</v>
      </c>
      <c r="Z131" s="1072">
        <f t="shared" si="635"/>
        <v>0</v>
      </c>
      <c r="AA131" s="1072">
        <f t="shared" si="635"/>
        <v>0</v>
      </c>
      <c r="AB131" s="1072">
        <f t="shared" si="635"/>
        <v>0</v>
      </c>
      <c r="AC131" s="1072">
        <f t="shared" si="635"/>
        <v>0</v>
      </c>
      <c r="AD131" s="1072">
        <f t="shared" si="635"/>
        <v>0</v>
      </c>
      <c r="AE131" s="1072">
        <f t="shared" si="635"/>
        <v>0</v>
      </c>
      <c r="AF131" s="1072">
        <f t="shared" si="635"/>
        <v>0</v>
      </c>
      <c r="AG131" s="1072">
        <f t="shared" si="635"/>
        <v>0</v>
      </c>
      <c r="AH131" s="1072">
        <f t="shared" si="635"/>
        <v>0</v>
      </c>
      <c r="AI131" s="1072">
        <f t="shared" si="635"/>
        <v>0</v>
      </c>
      <c r="AJ131" s="1072">
        <f t="shared" si="635"/>
        <v>0</v>
      </c>
      <c r="AK131" s="1072">
        <f t="shared" si="635"/>
        <v>0</v>
      </c>
      <c r="AL131" s="1072">
        <f t="shared" si="635"/>
        <v>0</v>
      </c>
      <c r="AM131" s="1072">
        <f t="shared" ref="AM131:BH131" si="636">SUM(AM132:AM136)</f>
        <v>0</v>
      </c>
      <c r="AN131" s="1072">
        <f t="shared" si="636"/>
        <v>0</v>
      </c>
      <c r="AO131" s="1072">
        <f t="shared" si="636"/>
        <v>0</v>
      </c>
      <c r="AP131" s="1072">
        <f t="shared" si="636"/>
        <v>0</v>
      </c>
      <c r="AQ131" s="1072">
        <f t="shared" si="636"/>
        <v>0</v>
      </c>
      <c r="AR131" s="1072">
        <f t="shared" si="636"/>
        <v>0</v>
      </c>
      <c r="AS131" s="1072">
        <f t="shared" si="636"/>
        <v>0</v>
      </c>
      <c r="AT131" s="1072">
        <f t="shared" si="636"/>
        <v>0</v>
      </c>
      <c r="AU131" s="1072">
        <f t="shared" si="636"/>
        <v>0</v>
      </c>
      <c r="AV131" s="1072">
        <f t="shared" si="636"/>
        <v>0</v>
      </c>
      <c r="AW131" s="1072">
        <f t="shared" si="636"/>
        <v>0</v>
      </c>
      <c r="AX131" s="1072">
        <f t="shared" si="636"/>
        <v>0</v>
      </c>
      <c r="AY131" s="1072">
        <f t="shared" si="636"/>
        <v>0</v>
      </c>
      <c r="AZ131" s="1072">
        <f t="shared" si="636"/>
        <v>0</v>
      </c>
      <c r="BA131" s="1072">
        <f t="shared" si="636"/>
        <v>0</v>
      </c>
      <c r="BB131" s="1072">
        <f t="shared" si="636"/>
        <v>0</v>
      </c>
      <c r="BC131" s="1072">
        <f t="shared" si="636"/>
        <v>0</v>
      </c>
      <c r="BD131" s="1072">
        <f t="shared" si="636"/>
        <v>0</v>
      </c>
      <c r="BE131" s="1072">
        <f t="shared" si="636"/>
        <v>0</v>
      </c>
      <c r="BF131" s="1072">
        <f t="shared" si="636"/>
        <v>0</v>
      </c>
      <c r="BG131" s="1072">
        <f t="shared" si="636"/>
        <v>0</v>
      </c>
      <c r="BH131" s="1072">
        <f t="shared" si="636"/>
        <v>0</v>
      </c>
      <c r="BI131" s="1073">
        <f t="shared" si="373"/>
        <v>0</v>
      </c>
      <c r="BJ131" s="1073">
        <f t="shared" si="374"/>
        <v>0</v>
      </c>
      <c r="BK131" s="1073">
        <f t="shared" si="375"/>
        <v>0</v>
      </c>
      <c r="BL131" s="1073">
        <f t="shared" si="376"/>
        <v>0</v>
      </c>
      <c r="BM131" s="508"/>
    </row>
    <row r="132" spans="1:65" ht="39.75" thickTop="1" thickBot="1">
      <c r="A132" s="1066"/>
      <c r="B132" s="1066"/>
      <c r="C132" s="1066"/>
      <c r="D132" s="1066"/>
      <c r="E132" s="1077"/>
      <c r="F132" s="1077"/>
      <c r="G132" s="1078"/>
      <c r="H132" s="1067" t="str">
        <f>+'Anexo 1 Matriz Inf Gestión-GD'!A136</f>
        <v>Proyecto 3205.03 Implementación de un sistema de relacionamiento  interinstitucional en el proceso de planeación del desarrollo y evaluación de los modelos de ocupación adoptados</v>
      </c>
      <c r="I132" s="1068">
        <f>SUM(I133:I134)</f>
        <v>0</v>
      </c>
      <c r="J132" s="1068">
        <f t="shared" ref="J132:AL132" si="637">SUM(J133:J134)</f>
        <v>0</v>
      </c>
      <c r="K132" s="1068">
        <f t="shared" si="637"/>
        <v>0</v>
      </c>
      <c r="L132" s="1068">
        <f t="shared" si="637"/>
        <v>0</v>
      </c>
      <c r="M132" s="1068">
        <f t="shared" si="637"/>
        <v>0</v>
      </c>
      <c r="N132" s="1068">
        <f t="shared" si="637"/>
        <v>0</v>
      </c>
      <c r="O132" s="1068">
        <f t="shared" si="637"/>
        <v>0</v>
      </c>
      <c r="P132" s="1068">
        <f t="shared" si="637"/>
        <v>0</v>
      </c>
      <c r="Q132" s="1068">
        <f t="shared" si="637"/>
        <v>0</v>
      </c>
      <c r="R132" s="1068">
        <f t="shared" si="637"/>
        <v>0</v>
      </c>
      <c r="S132" s="1068">
        <f t="shared" si="637"/>
        <v>0</v>
      </c>
      <c r="T132" s="1068">
        <f t="shared" si="637"/>
        <v>0</v>
      </c>
      <c r="U132" s="1068">
        <f t="shared" si="637"/>
        <v>0</v>
      </c>
      <c r="V132" s="1068">
        <f t="shared" si="637"/>
        <v>0</v>
      </c>
      <c r="W132" s="1068">
        <f t="shared" si="637"/>
        <v>0</v>
      </c>
      <c r="X132" s="1068">
        <f t="shared" si="637"/>
        <v>0</v>
      </c>
      <c r="Y132" s="1068">
        <f t="shared" si="637"/>
        <v>0</v>
      </c>
      <c r="Z132" s="1068">
        <f t="shared" si="637"/>
        <v>0</v>
      </c>
      <c r="AA132" s="1068">
        <f t="shared" si="637"/>
        <v>0</v>
      </c>
      <c r="AB132" s="1068">
        <f t="shared" si="637"/>
        <v>0</v>
      </c>
      <c r="AC132" s="1068">
        <f t="shared" si="637"/>
        <v>0</v>
      </c>
      <c r="AD132" s="1068">
        <f t="shared" si="637"/>
        <v>0</v>
      </c>
      <c r="AE132" s="1068">
        <f t="shared" si="637"/>
        <v>0</v>
      </c>
      <c r="AF132" s="1068">
        <f t="shared" si="637"/>
        <v>0</v>
      </c>
      <c r="AG132" s="1068">
        <f t="shared" si="637"/>
        <v>0</v>
      </c>
      <c r="AH132" s="1068">
        <f t="shared" si="637"/>
        <v>0</v>
      </c>
      <c r="AI132" s="1068">
        <f t="shared" si="637"/>
        <v>0</v>
      </c>
      <c r="AJ132" s="1068">
        <f t="shared" si="637"/>
        <v>0</v>
      </c>
      <c r="AK132" s="1068">
        <f t="shared" si="637"/>
        <v>0</v>
      </c>
      <c r="AL132" s="1068">
        <f t="shared" si="637"/>
        <v>0</v>
      </c>
      <c r="AM132" s="1068">
        <f t="shared" ref="AM132" si="638">SUM(AM133:AM134)</f>
        <v>0</v>
      </c>
      <c r="AN132" s="1068">
        <f t="shared" ref="AN132" si="639">SUM(AN133:AN134)</f>
        <v>0</v>
      </c>
      <c r="AO132" s="1068">
        <f t="shared" ref="AO132" si="640">SUM(AO133:AO134)</f>
        <v>0</v>
      </c>
      <c r="AP132" s="1068">
        <f t="shared" ref="AP132" si="641">SUM(AP133:AP134)</f>
        <v>0</v>
      </c>
      <c r="AQ132" s="1068">
        <f t="shared" ref="AQ132" si="642">SUM(AQ133:AQ134)</f>
        <v>0</v>
      </c>
      <c r="AR132" s="1068">
        <f t="shared" ref="AR132" si="643">SUM(AR133:AR134)</f>
        <v>0</v>
      </c>
      <c r="AS132" s="1068">
        <f t="shared" ref="AS132" si="644">SUM(AS133:AS134)</f>
        <v>0</v>
      </c>
      <c r="AT132" s="1068">
        <f t="shared" ref="AT132" si="645">SUM(AT133:AT134)</f>
        <v>0</v>
      </c>
      <c r="AU132" s="1068">
        <f t="shared" ref="AU132" si="646">SUM(AU133:AU134)</f>
        <v>0</v>
      </c>
      <c r="AV132" s="1068">
        <f t="shared" ref="AV132" si="647">SUM(AV133:AV134)</f>
        <v>0</v>
      </c>
      <c r="AW132" s="1068">
        <f t="shared" ref="AW132" si="648">SUM(AW133:AW134)</f>
        <v>0</v>
      </c>
      <c r="AX132" s="1068">
        <f t="shared" ref="AX132" si="649">SUM(AX133:AX134)</f>
        <v>0</v>
      </c>
      <c r="AY132" s="1068">
        <f t="shared" ref="AY132" si="650">SUM(AY133:AY134)</f>
        <v>0</v>
      </c>
      <c r="AZ132" s="1068">
        <f t="shared" ref="AZ132" si="651">SUM(AZ133:AZ134)</f>
        <v>0</v>
      </c>
      <c r="BA132" s="1068">
        <f t="shared" ref="BA132" si="652">SUM(BA133:BA134)</f>
        <v>0</v>
      </c>
      <c r="BB132" s="1068">
        <f t="shared" ref="BB132" si="653">SUM(BB133:BB134)</f>
        <v>0</v>
      </c>
      <c r="BC132" s="1068">
        <f t="shared" ref="BC132" si="654">SUM(BC133:BC134)</f>
        <v>0</v>
      </c>
      <c r="BD132" s="1068">
        <f t="shared" ref="BD132" si="655">SUM(BD133:BD134)</f>
        <v>0</v>
      </c>
      <c r="BE132" s="1068">
        <f t="shared" ref="BE132" si="656">SUM(BE133:BE134)</f>
        <v>0</v>
      </c>
      <c r="BF132" s="1068">
        <f t="shared" ref="BF132" si="657">SUM(BF133:BF134)</f>
        <v>0</v>
      </c>
      <c r="BG132" s="1068">
        <f t="shared" ref="BG132" si="658">SUM(BG133:BG134)</f>
        <v>0</v>
      </c>
      <c r="BH132" s="1068">
        <f t="shared" ref="BH132" si="659">SUM(BH133:BH134)</f>
        <v>0</v>
      </c>
      <c r="BI132" s="1069">
        <f t="shared" ref="BI132:BI195" si="660">+I132+M132+Q132+U132+Y132+AC132+AG132+AK132+AO132+AS132+AW132+BA132+BE132</f>
        <v>0</v>
      </c>
      <c r="BJ132" s="1069">
        <f t="shared" ref="BJ132:BJ195" si="661">+J132+N132+R132+V132+Z132+AD132+AH132+AL132+AP132+AT132+AX132+BB132+BF132</f>
        <v>0</v>
      </c>
      <c r="BK132" s="1069">
        <f t="shared" ref="BK132:BK195" si="662">+K132+O132+S132+W132+AA132+AE132+AI132+AM132+AQ132+AU132+AY132+BC132+BG132</f>
        <v>0</v>
      </c>
      <c r="BL132" s="1069">
        <f t="shared" ref="BL132:BL195" si="663">+L132+P132+T132+X132+AB132+AF132+AJ132+AN132+AR132+AV132+AZ132+BD132+BH132</f>
        <v>0</v>
      </c>
      <c r="BM132" s="1070"/>
    </row>
    <row r="133" spans="1:65" ht="39.75" thickTop="1" thickBot="1">
      <c r="A133" s="509"/>
      <c r="B133" s="509"/>
      <c r="C133" s="511"/>
      <c r="D133" s="511"/>
      <c r="E133" s="510"/>
      <c r="F133" s="510"/>
      <c r="G133" s="509"/>
      <c r="H133" s="1071" t="str">
        <f>+'Anexo 1 Matriz Inf Gestión-GD'!A137</f>
        <v>3205.03.01 Gestión para la creación de una estrategia de relacionamiento interinstitucional de OT subregional e interregional (Área Metropolitana, Gobernación, RAP, IGAC, CAR vecinas, CEI-COT, MVCT, MADR, cabildos).</v>
      </c>
      <c r="I133" s="1072"/>
      <c r="J133" s="1072"/>
      <c r="K133" s="1072"/>
      <c r="L133" s="1072"/>
      <c r="M133" s="1072"/>
      <c r="N133" s="1072"/>
      <c r="O133" s="1072"/>
      <c r="P133" s="1072"/>
      <c r="Q133" s="1072"/>
      <c r="R133" s="1072"/>
      <c r="S133" s="1072"/>
      <c r="T133" s="1072"/>
      <c r="U133" s="1072"/>
      <c r="V133" s="1072"/>
      <c r="W133" s="1072"/>
      <c r="X133" s="1072"/>
      <c r="Y133" s="1072"/>
      <c r="Z133" s="1072"/>
      <c r="AA133" s="1072"/>
      <c r="AB133" s="1072"/>
      <c r="AC133" s="1072"/>
      <c r="AD133" s="1072"/>
      <c r="AE133" s="1072"/>
      <c r="AF133" s="1072"/>
      <c r="AG133" s="1072"/>
      <c r="AH133" s="1072"/>
      <c r="AI133" s="1072"/>
      <c r="AJ133" s="1072"/>
      <c r="AK133" s="1072"/>
      <c r="AL133" s="1072"/>
      <c r="AM133" s="1072"/>
      <c r="AN133" s="1072"/>
      <c r="AO133" s="1072"/>
      <c r="AP133" s="1072"/>
      <c r="AQ133" s="1072"/>
      <c r="AR133" s="1072"/>
      <c r="AS133" s="1072"/>
      <c r="AT133" s="1072"/>
      <c r="AU133" s="1072"/>
      <c r="AV133" s="1072"/>
      <c r="AW133" s="1072"/>
      <c r="AX133" s="1072"/>
      <c r="AY133" s="1072"/>
      <c r="AZ133" s="1072"/>
      <c r="BA133" s="1072"/>
      <c r="BB133" s="1072"/>
      <c r="BC133" s="1072"/>
      <c r="BD133" s="1072"/>
      <c r="BE133" s="1072"/>
      <c r="BF133" s="1072"/>
      <c r="BG133" s="1072"/>
      <c r="BH133" s="1072"/>
      <c r="BI133" s="1073">
        <f t="shared" si="660"/>
        <v>0</v>
      </c>
      <c r="BJ133" s="1073">
        <f t="shared" si="661"/>
        <v>0</v>
      </c>
      <c r="BK133" s="1073">
        <f t="shared" si="662"/>
        <v>0</v>
      </c>
      <c r="BL133" s="1073">
        <f t="shared" si="663"/>
        <v>0</v>
      </c>
      <c r="BM133" s="508"/>
    </row>
    <row r="134" spans="1:65" ht="27" thickTop="1" thickBot="1">
      <c r="A134" s="509"/>
      <c r="B134" s="509"/>
      <c r="C134" s="511"/>
      <c r="D134" s="511"/>
      <c r="E134" s="510"/>
      <c r="F134" s="510"/>
      <c r="G134" s="509"/>
      <c r="H134" s="1071" t="str">
        <f>+'Anexo 1 Matriz Inf Gestión-GD'!A138</f>
        <v>3205.03.02 Evaluación de modelos de ocupación y valoración de SE arrojados por los procesos de OAT y satisfacción de demandas</v>
      </c>
      <c r="I134" s="1072"/>
      <c r="J134" s="1072"/>
      <c r="K134" s="1072"/>
      <c r="L134" s="1072"/>
      <c r="M134" s="1072"/>
      <c r="N134" s="1072"/>
      <c r="O134" s="1072"/>
      <c r="P134" s="1072"/>
      <c r="Q134" s="1072"/>
      <c r="R134" s="1072"/>
      <c r="S134" s="1072"/>
      <c r="T134" s="1072"/>
      <c r="U134" s="1072"/>
      <c r="V134" s="1072"/>
      <c r="W134" s="1072"/>
      <c r="X134" s="1072"/>
      <c r="Y134" s="1072"/>
      <c r="Z134" s="1072"/>
      <c r="AA134" s="1072"/>
      <c r="AB134" s="1072"/>
      <c r="AC134" s="1072"/>
      <c r="AD134" s="1072"/>
      <c r="AE134" s="1072"/>
      <c r="AF134" s="1072"/>
      <c r="AG134" s="1072"/>
      <c r="AH134" s="1072"/>
      <c r="AI134" s="1072"/>
      <c r="AJ134" s="1072"/>
      <c r="AK134" s="1072"/>
      <c r="AL134" s="1072"/>
      <c r="AM134" s="1072"/>
      <c r="AN134" s="1072"/>
      <c r="AO134" s="1072"/>
      <c r="AP134" s="1072"/>
      <c r="AQ134" s="1072"/>
      <c r="AR134" s="1072"/>
      <c r="AS134" s="1072"/>
      <c r="AT134" s="1072"/>
      <c r="AU134" s="1072"/>
      <c r="AV134" s="1072"/>
      <c r="AW134" s="1072"/>
      <c r="AX134" s="1072"/>
      <c r="AY134" s="1072"/>
      <c r="AZ134" s="1072"/>
      <c r="BA134" s="1072"/>
      <c r="BB134" s="1072"/>
      <c r="BC134" s="1072"/>
      <c r="BD134" s="1072"/>
      <c r="BE134" s="1072"/>
      <c r="BF134" s="1072"/>
      <c r="BG134" s="1072"/>
      <c r="BH134" s="1072"/>
      <c r="BI134" s="1073">
        <f t="shared" si="660"/>
        <v>0</v>
      </c>
      <c r="BJ134" s="1073">
        <f t="shared" si="661"/>
        <v>0</v>
      </c>
      <c r="BK134" s="1073">
        <f t="shared" si="662"/>
        <v>0</v>
      </c>
      <c r="BL134" s="1073">
        <f t="shared" si="663"/>
        <v>0</v>
      </c>
      <c r="BM134" s="508"/>
    </row>
    <row r="135" spans="1:65" ht="28.5" thickTop="1" thickBot="1">
      <c r="A135" s="1054"/>
      <c r="B135" s="1055"/>
      <c r="C135" s="1055"/>
      <c r="D135" s="1055"/>
      <c r="E135" s="1054"/>
      <c r="F135" s="1054"/>
      <c r="G135" s="1054"/>
      <c r="H135" s="1056" t="str">
        <f>+'Anexo 1 Matriz Inf Gestión-GD'!A139</f>
        <v>LINEA ESTRATÉGICA 2. GESTIÓN PARA LA CULTURA Y LA EDUCACIÓN AMBIENTAL</v>
      </c>
      <c r="I135" s="1057">
        <f>+I136</f>
        <v>0</v>
      </c>
      <c r="J135" s="1057">
        <f t="shared" ref="J135:AL135" si="664">+J136</f>
        <v>0</v>
      </c>
      <c r="K135" s="1057">
        <f t="shared" si="664"/>
        <v>0</v>
      </c>
      <c r="L135" s="1057">
        <f t="shared" si="664"/>
        <v>0</v>
      </c>
      <c r="M135" s="1057">
        <f t="shared" si="664"/>
        <v>0</v>
      </c>
      <c r="N135" s="1057">
        <f t="shared" si="664"/>
        <v>0</v>
      </c>
      <c r="O135" s="1057">
        <f t="shared" si="664"/>
        <v>0</v>
      </c>
      <c r="P135" s="1057">
        <f t="shared" si="664"/>
        <v>0</v>
      </c>
      <c r="Q135" s="1057">
        <f t="shared" si="664"/>
        <v>0</v>
      </c>
      <c r="R135" s="1057">
        <f t="shared" si="664"/>
        <v>0</v>
      </c>
      <c r="S135" s="1057">
        <f t="shared" si="664"/>
        <v>0</v>
      </c>
      <c r="T135" s="1057">
        <f t="shared" si="664"/>
        <v>0</v>
      </c>
      <c r="U135" s="1057">
        <f t="shared" si="664"/>
        <v>0</v>
      </c>
      <c r="V135" s="1057">
        <f t="shared" si="664"/>
        <v>0</v>
      </c>
      <c r="W135" s="1057">
        <f t="shared" si="664"/>
        <v>0</v>
      </c>
      <c r="X135" s="1057">
        <f t="shared" si="664"/>
        <v>0</v>
      </c>
      <c r="Y135" s="1057">
        <f t="shared" si="664"/>
        <v>0</v>
      </c>
      <c r="Z135" s="1057">
        <f t="shared" si="664"/>
        <v>0</v>
      </c>
      <c r="AA135" s="1057">
        <f t="shared" si="664"/>
        <v>0</v>
      </c>
      <c r="AB135" s="1057">
        <f t="shared" si="664"/>
        <v>0</v>
      </c>
      <c r="AC135" s="1057">
        <f t="shared" si="664"/>
        <v>0</v>
      </c>
      <c r="AD135" s="1057">
        <f t="shared" si="664"/>
        <v>0</v>
      </c>
      <c r="AE135" s="1057">
        <f t="shared" si="664"/>
        <v>0</v>
      </c>
      <c r="AF135" s="1057">
        <f t="shared" si="664"/>
        <v>0</v>
      </c>
      <c r="AG135" s="1057">
        <f t="shared" si="664"/>
        <v>0</v>
      </c>
      <c r="AH135" s="1057">
        <f t="shared" si="664"/>
        <v>0</v>
      </c>
      <c r="AI135" s="1057">
        <f t="shared" si="664"/>
        <v>0</v>
      </c>
      <c r="AJ135" s="1057">
        <f t="shared" si="664"/>
        <v>0</v>
      </c>
      <c r="AK135" s="1057">
        <f t="shared" si="664"/>
        <v>0</v>
      </c>
      <c r="AL135" s="1057">
        <f t="shared" si="664"/>
        <v>0</v>
      </c>
      <c r="AM135" s="1057">
        <f t="shared" ref="AM135" si="665">+AM136</f>
        <v>0</v>
      </c>
      <c r="AN135" s="1057">
        <f t="shared" ref="AN135" si="666">+AN136</f>
        <v>0</v>
      </c>
      <c r="AO135" s="1057">
        <f t="shared" ref="AO135" si="667">+AO136</f>
        <v>0</v>
      </c>
      <c r="AP135" s="1057">
        <f t="shared" ref="AP135" si="668">+AP136</f>
        <v>0</v>
      </c>
      <c r="AQ135" s="1057">
        <f t="shared" ref="AQ135" si="669">+AQ136</f>
        <v>0</v>
      </c>
      <c r="AR135" s="1057">
        <f t="shared" ref="AR135" si="670">+AR136</f>
        <v>0</v>
      </c>
      <c r="AS135" s="1057">
        <f t="shared" ref="AS135" si="671">+AS136</f>
        <v>0</v>
      </c>
      <c r="AT135" s="1057">
        <f t="shared" ref="AT135" si="672">+AT136</f>
        <v>0</v>
      </c>
      <c r="AU135" s="1057">
        <f t="shared" ref="AU135" si="673">+AU136</f>
        <v>0</v>
      </c>
      <c r="AV135" s="1057">
        <f t="shared" ref="AV135" si="674">+AV136</f>
        <v>0</v>
      </c>
      <c r="AW135" s="1057">
        <f t="shared" ref="AW135" si="675">+AW136</f>
        <v>0</v>
      </c>
      <c r="AX135" s="1057">
        <f t="shared" ref="AX135" si="676">+AX136</f>
        <v>0</v>
      </c>
      <c r="AY135" s="1057">
        <f t="shared" ref="AY135" si="677">+AY136</f>
        <v>0</v>
      </c>
      <c r="AZ135" s="1057">
        <f t="shared" ref="AZ135" si="678">+AZ136</f>
        <v>0</v>
      </c>
      <c r="BA135" s="1057">
        <f t="shared" ref="BA135" si="679">+BA136</f>
        <v>0</v>
      </c>
      <c r="BB135" s="1057">
        <f t="shared" ref="BB135" si="680">+BB136</f>
        <v>0</v>
      </c>
      <c r="BC135" s="1057">
        <f t="shared" ref="BC135" si="681">+BC136</f>
        <v>0</v>
      </c>
      <c r="BD135" s="1057">
        <f t="shared" ref="BD135" si="682">+BD136</f>
        <v>0</v>
      </c>
      <c r="BE135" s="1057">
        <f t="shared" ref="BE135" si="683">+BE136</f>
        <v>0</v>
      </c>
      <c r="BF135" s="1057">
        <f t="shared" ref="BF135" si="684">+BF136</f>
        <v>0</v>
      </c>
      <c r="BG135" s="1057">
        <f t="shared" ref="BG135" si="685">+BG136</f>
        <v>0</v>
      </c>
      <c r="BH135" s="1057">
        <f t="shared" ref="BH135" si="686">+BH136</f>
        <v>0</v>
      </c>
      <c r="BI135" s="1058">
        <f t="shared" si="660"/>
        <v>0</v>
      </c>
      <c r="BJ135" s="1058">
        <f t="shared" si="661"/>
        <v>0</v>
      </c>
      <c r="BK135" s="1058">
        <f t="shared" si="662"/>
        <v>0</v>
      </c>
      <c r="BL135" s="1058">
        <f t="shared" si="663"/>
        <v>0</v>
      </c>
      <c r="BM135" s="1059"/>
    </row>
    <row r="136" spans="1:65" ht="16.5" thickTop="1" thickBot="1">
      <c r="A136" s="1060"/>
      <c r="B136" s="1061"/>
      <c r="C136" s="1061"/>
      <c r="D136" s="1061"/>
      <c r="E136" s="1060"/>
      <c r="F136" s="1060"/>
      <c r="G136" s="1060"/>
      <c r="H136" s="1062" t="str">
        <f>+'Anexo 1 Matriz Inf Gestión-GD'!A140</f>
        <v>PROGRAMA 3208. EDUCACIÓN AMBIENTAL</v>
      </c>
      <c r="I136" s="1063">
        <f>+I137+I143+I150</f>
        <v>0</v>
      </c>
      <c r="J136" s="1063">
        <f t="shared" ref="J136:AL136" si="687">+J137+J143+J150</f>
        <v>0</v>
      </c>
      <c r="K136" s="1063">
        <f t="shared" si="687"/>
        <v>0</v>
      </c>
      <c r="L136" s="1063">
        <f t="shared" si="687"/>
        <v>0</v>
      </c>
      <c r="M136" s="1063">
        <f t="shared" si="687"/>
        <v>0</v>
      </c>
      <c r="N136" s="1063">
        <f t="shared" si="687"/>
        <v>0</v>
      </c>
      <c r="O136" s="1063">
        <f t="shared" si="687"/>
        <v>0</v>
      </c>
      <c r="P136" s="1063">
        <f t="shared" si="687"/>
        <v>0</v>
      </c>
      <c r="Q136" s="1063">
        <f t="shared" si="687"/>
        <v>0</v>
      </c>
      <c r="R136" s="1063">
        <f t="shared" si="687"/>
        <v>0</v>
      </c>
      <c r="S136" s="1063">
        <f t="shared" si="687"/>
        <v>0</v>
      </c>
      <c r="T136" s="1063">
        <f t="shared" si="687"/>
        <v>0</v>
      </c>
      <c r="U136" s="1063">
        <f t="shared" si="687"/>
        <v>0</v>
      </c>
      <c r="V136" s="1063">
        <f t="shared" si="687"/>
        <v>0</v>
      </c>
      <c r="W136" s="1063">
        <f t="shared" si="687"/>
        <v>0</v>
      </c>
      <c r="X136" s="1063">
        <f t="shared" si="687"/>
        <v>0</v>
      </c>
      <c r="Y136" s="1063">
        <f t="shared" si="687"/>
        <v>0</v>
      </c>
      <c r="Z136" s="1063">
        <f t="shared" si="687"/>
        <v>0</v>
      </c>
      <c r="AA136" s="1063">
        <f t="shared" si="687"/>
        <v>0</v>
      </c>
      <c r="AB136" s="1063">
        <f t="shared" si="687"/>
        <v>0</v>
      </c>
      <c r="AC136" s="1063">
        <f t="shared" si="687"/>
        <v>0</v>
      </c>
      <c r="AD136" s="1063">
        <f t="shared" si="687"/>
        <v>0</v>
      </c>
      <c r="AE136" s="1063">
        <f t="shared" si="687"/>
        <v>0</v>
      </c>
      <c r="AF136" s="1063">
        <f t="shared" si="687"/>
        <v>0</v>
      </c>
      <c r="AG136" s="1063">
        <f t="shared" si="687"/>
        <v>0</v>
      </c>
      <c r="AH136" s="1063">
        <f t="shared" si="687"/>
        <v>0</v>
      </c>
      <c r="AI136" s="1063">
        <f t="shared" si="687"/>
        <v>0</v>
      </c>
      <c r="AJ136" s="1063">
        <f t="shared" si="687"/>
        <v>0</v>
      </c>
      <c r="AK136" s="1063">
        <f t="shared" si="687"/>
        <v>0</v>
      </c>
      <c r="AL136" s="1063">
        <f t="shared" si="687"/>
        <v>0</v>
      </c>
      <c r="AM136" s="1063">
        <f t="shared" ref="AM136" si="688">+AM137+AM143+AM150</f>
        <v>0</v>
      </c>
      <c r="AN136" s="1063">
        <f t="shared" ref="AN136" si="689">+AN137+AN143+AN150</f>
        <v>0</v>
      </c>
      <c r="AO136" s="1063">
        <f t="shared" ref="AO136" si="690">+AO137+AO143+AO150</f>
        <v>0</v>
      </c>
      <c r="AP136" s="1063">
        <f t="shared" ref="AP136" si="691">+AP137+AP143+AP150</f>
        <v>0</v>
      </c>
      <c r="AQ136" s="1063">
        <f t="shared" ref="AQ136" si="692">+AQ137+AQ143+AQ150</f>
        <v>0</v>
      </c>
      <c r="AR136" s="1063">
        <f t="shared" ref="AR136" si="693">+AR137+AR143+AR150</f>
        <v>0</v>
      </c>
      <c r="AS136" s="1063">
        <f t="shared" ref="AS136" si="694">+AS137+AS143+AS150</f>
        <v>0</v>
      </c>
      <c r="AT136" s="1063">
        <f t="shared" ref="AT136" si="695">+AT137+AT143+AT150</f>
        <v>0</v>
      </c>
      <c r="AU136" s="1063">
        <f t="shared" ref="AU136" si="696">+AU137+AU143+AU150</f>
        <v>0</v>
      </c>
      <c r="AV136" s="1063">
        <f t="shared" ref="AV136" si="697">+AV137+AV143+AV150</f>
        <v>0</v>
      </c>
      <c r="AW136" s="1063">
        <f t="shared" ref="AW136" si="698">+AW137+AW143+AW150</f>
        <v>0</v>
      </c>
      <c r="AX136" s="1063">
        <f t="shared" ref="AX136" si="699">+AX137+AX143+AX150</f>
        <v>0</v>
      </c>
      <c r="AY136" s="1063">
        <f t="shared" ref="AY136" si="700">+AY137+AY143+AY150</f>
        <v>0</v>
      </c>
      <c r="AZ136" s="1063">
        <f t="shared" ref="AZ136" si="701">+AZ137+AZ143+AZ150</f>
        <v>0</v>
      </c>
      <c r="BA136" s="1063">
        <f t="shared" ref="BA136" si="702">+BA137+BA143+BA150</f>
        <v>0</v>
      </c>
      <c r="BB136" s="1063">
        <f t="shared" ref="BB136" si="703">+BB137+BB143+BB150</f>
        <v>0</v>
      </c>
      <c r="BC136" s="1063">
        <f t="shared" ref="BC136" si="704">+BC137+BC143+BC150</f>
        <v>0</v>
      </c>
      <c r="BD136" s="1063">
        <f t="shared" ref="BD136" si="705">+BD137+BD143+BD150</f>
        <v>0</v>
      </c>
      <c r="BE136" s="1063">
        <f t="shared" ref="BE136" si="706">+BE137+BE143+BE150</f>
        <v>0</v>
      </c>
      <c r="BF136" s="1063">
        <f t="shared" ref="BF136" si="707">+BF137+BF143+BF150</f>
        <v>0</v>
      </c>
      <c r="BG136" s="1063">
        <f t="shared" ref="BG136" si="708">+BG137+BG143+BG150</f>
        <v>0</v>
      </c>
      <c r="BH136" s="1063">
        <f t="shared" ref="BH136" si="709">+BH137+BH143+BH150</f>
        <v>0</v>
      </c>
      <c r="BI136" s="1064">
        <f t="shared" si="660"/>
        <v>0</v>
      </c>
      <c r="BJ136" s="1064">
        <f t="shared" si="661"/>
        <v>0</v>
      </c>
      <c r="BK136" s="1064">
        <f t="shared" si="662"/>
        <v>0</v>
      </c>
      <c r="BL136" s="1064">
        <f t="shared" si="663"/>
        <v>0</v>
      </c>
      <c r="BM136" s="1065"/>
    </row>
    <row r="137" spans="1:65" ht="39.75" thickTop="1" thickBot="1">
      <c r="A137" s="1066"/>
      <c r="B137" s="1066"/>
      <c r="C137" s="1066"/>
      <c r="D137" s="1066"/>
      <c r="E137" s="1077"/>
      <c r="F137" s="1077"/>
      <c r="G137" s="1078"/>
      <c r="H137" s="1067" t="str">
        <f>+'Anexo 1 Matriz Inf Gestión-GD'!A141</f>
        <v>Proyecto 3208.01 Fortalecimento de la participación ciudadana en la Gestión ambiental,  con enfoque endógeno y/o cultural,   intergeneracional, y consensual para promover el desarrollo ECOsocial en el dpto del Cesar</v>
      </c>
      <c r="I137" s="1068">
        <f>SUM(I138:I142)</f>
        <v>0</v>
      </c>
      <c r="J137" s="1068">
        <f t="shared" ref="J137:AL137" si="710">SUM(J138:J142)</f>
        <v>0</v>
      </c>
      <c r="K137" s="1068">
        <f t="shared" si="710"/>
        <v>0</v>
      </c>
      <c r="L137" s="1068">
        <f t="shared" si="710"/>
        <v>0</v>
      </c>
      <c r="M137" s="1068">
        <f t="shared" si="710"/>
        <v>0</v>
      </c>
      <c r="N137" s="1068">
        <f t="shared" si="710"/>
        <v>0</v>
      </c>
      <c r="O137" s="1068">
        <f t="shared" si="710"/>
        <v>0</v>
      </c>
      <c r="P137" s="1068">
        <f t="shared" si="710"/>
        <v>0</v>
      </c>
      <c r="Q137" s="1068">
        <f t="shared" si="710"/>
        <v>0</v>
      </c>
      <c r="R137" s="1068">
        <f t="shared" si="710"/>
        <v>0</v>
      </c>
      <c r="S137" s="1068">
        <f t="shared" si="710"/>
        <v>0</v>
      </c>
      <c r="T137" s="1068">
        <f t="shared" si="710"/>
        <v>0</v>
      </c>
      <c r="U137" s="1068">
        <f t="shared" si="710"/>
        <v>0</v>
      </c>
      <c r="V137" s="1068">
        <f t="shared" si="710"/>
        <v>0</v>
      </c>
      <c r="W137" s="1068">
        <f t="shared" si="710"/>
        <v>0</v>
      </c>
      <c r="X137" s="1068">
        <f t="shared" si="710"/>
        <v>0</v>
      </c>
      <c r="Y137" s="1068">
        <f t="shared" si="710"/>
        <v>0</v>
      </c>
      <c r="Z137" s="1068">
        <f t="shared" si="710"/>
        <v>0</v>
      </c>
      <c r="AA137" s="1068">
        <f t="shared" si="710"/>
        <v>0</v>
      </c>
      <c r="AB137" s="1068">
        <f t="shared" si="710"/>
        <v>0</v>
      </c>
      <c r="AC137" s="1068">
        <f t="shared" si="710"/>
        <v>0</v>
      </c>
      <c r="AD137" s="1068">
        <f t="shared" si="710"/>
        <v>0</v>
      </c>
      <c r="AE137" s="1068">
        <f t="shared" si="710"/>
        <v>0</v>
      </c>
      <c r="AF137" s="1068">
        <f t="shared" si="710"/>
        <v>0</v>
      </c>
      <c r="AG137" s="1068">
        <f t="shared" si="710"/>
        <v>0</v>
      </c>
      <c r="AH137" s="1068">
        <f t="shared" si="710"/>
        <v>0</v>
      </c>
      <c r="AI137" s="1068">
        <f t="shared" si="710"/>
        <v>0</v>
      </c>
      <c r="AJ137" s="1068">
        <f t="shared" si="710"/>
        <v>0</v>
      </c>
      <c r="AK137" s="1068">
        <f t="shared" si="710"/>
        <v>0</v>
      </c>
      <c r="AL137" s="1068">
        <f t="shared" si="710"/>
        <v>0</v>
      </c>
      <c r="AM137" s="1068">
        <f t="shared" ref="AM137" si="711">SUM(AM138:AM142)</f>
        <v>0</v>
      </c>
      <c r="AN137" s="1068">
        <f t="shared" ref="AN137" si="712">SUM(AN138:AN142)</f>
        <v>0</v>
      </c>
      <c r="AO137" s="1068">
        <f t="shared" ref="AO137" si="713">SUM(AO138:AO142)</f>
        <v>0</v>
      </c>
      <c r="AP137" s="1068">
        <f t="shared" ref="AP137" si="714">SUM(AP138:AP142)</f>
        <v>0</v>
      </c>
      <c r="AQ137" s="1068">
        <f t="shared" ref="AQ137" si="715">SUM(AQ138:AQ142)</f>
        <v>0</v>
      </c>
      <c r="AR137" s="1068">
        <f t="shared" ref="AR137" si="716">SUM(AR138:AR142)</f>
        <v>0</v>
      </c>
      <c r="AS137" s="1068">
        <f t="shared" ref="AS137" si="717">SUM(AS138:AS142)</f>
        <v>0</v>
      </c>
      <c r="AT137" s="1068">
        <f t="shared" ref="AT137" si="718">SUM(AT138:AT142)</f>
        <v>0</v>
      </c>
      <c r="AU137" s="1068">
        <f t="shared" ref="AU137" si="719">SUM(AU138:AU142)</f>
        <v>0</v>
      </c>
      <c r="AV137" s="1068">
        <f t="shared" ref="AV137" si="720">SUM(AV138:AV142)</f>
        <v>0</v>
      </c>
      <c r="AW137" s="1068">
        <f t="shared" ref="AW137" si="721">SUM(AW138:AW142)</f>
        <v>0</v>
      </c>
      <c r="AX137" s="1068">
        <f t="shared" ref="AX137" si="722">SUM(AX138:AX142)</f>
        <v>0</v>
      </c>
      <c r="AY137" s="1068">
        <f t="shared" ref="AY137" si="723">SUM(AY138:AY142)</f>
        <v>0</v>
      </c>
      <c r="AZ137" s="1068">
        <f t="shared" ref="AZ137" si="724">SUM(AZ138:AZ142)</f>
        <v>0</v>
      </c>
      <c r="BA137" s="1068">
        <f t="shared" ref="BA137" si="725">SUM(BA138:BA142)</f>
        <v>0</v>
      </c>
      <c r="BB137" s="1068">
        <f t="shared" ref="BB137" si="726">SUM(BB138:BB142)</f>
        <v>0</v>
      </c>
      <c r="BC137" s="1068">
        <f t="shared" ref="BC137" si="727">SUM(BC138:BC142)</f>
        <v>0</v>
      </c>
      <c r="BD137" s="1068">
        <f t="shared" ref="BD137" si="728">SUM(BD138:BD142)</f>
        <v>0</v>
      </c>
      <c r="BE137" s="1068">
        <f t="shared" ref="BE137" si="729">SUM(BE138:BE142)</f>
        <v>0</v>
      </c>
      <c r="BF137" s="1068">
        <f t="shared" ref="BF137" si="730">SUM(BF138:BF142)</f>
        <v>0</v>
      </c>
      <c r="BG137" s="1068">
        <f t="shared" ref="BG137" si="731">SUM(BG138:BG142)</f>
        <v>0</v>
      </c>
      <c r="BH137" s="1068">
        <f t="shared" ref="BH137" si="732">SUM(BH138:BH142)</f>
        <v>0</v>
      </c>
      <c r="BI137" s="1069">
        <f t="shared" si="660"/>
        <v>0</v>
      </c>
      <c r="BJ137" s="1069">
        <f t="shared" si="661"/>
        <v>0</v>
      </c>
      <c r="BK137" s="1069">
        <f t="shared" si="662"/>
        <v>0</v>
      </c>
      <c r="BL137" s="1069">
        <f t="shared" si="663"/>
        <v>0</v>
      </c>
      <c r="BM137" s="1070"/>
    </row>
    <row r="138" spans="1:65" ht="27" thickTop="1" thickBot="1">
      <c r="A138" s="509"/>
      <c r="B138" s="509"/>
      <c r="C138" s="511"/>
      <c r="D138" s="511"/>
      <c r="E138" s="510"/>
      <c r="F138" s="510"/>
      <c r="G138" s="509"/>
      <c r="H138" s="1071" t="str">
        <f>+'Anexo 1 Matriz Inf Gestión-GD'!A142</f>
        <v>3208.01.01 Gestión e Implementación de medidas para el fortalecimiento de la participación ciudadana en la gestión ambiental</v>
      </c>
      <c r="I138" s="1072"/>
      <c r="J138" s="1072"/>
      <c r="K138" s="1072"/>
      <c r="L138" s="1072"/>
      <c r="M138" s="1072"/>
      <c r="N138" s="1072"/>
      <c r="O138" s="1072"/>
      <c r="P138" s="1072"/>
      <c r="Q138" s="1072"/>
      <c r="R138" s="1072"/>
      <c r="S138" s="1072"/>
      <c r="T138" s="1072"/>
      <c r="U138" s="1072"/>
      <c r="V138" s="1072"/>
      <c r="W138" s="1072"/>
      <c r="X138" s="1072"/>
      <c r="Y138" s="1072"/>
      <c r="Z138" s="1072"/>
      <c r="AA138" s="1072"/>
      <c r="AB138" s="1072"/>
      <c r="AC138" s="1072"/>
      <c r="AD138" s="1072"/>
      <c r="AE138" s="1072"/>
      <c r="AF138" s="1072"/>
      <c r="AG138" s="1072"/>
      <c r="AH138" s="1072"/>
      <c r="AI138" s="1072"/>
      <c r="AJ138" s="1072"/>
      <c r="AK138" s="1072"/>
      <c r="AL138" s="1072"/>
      <c r="AM138" s="1072"/>
      <c r="AN138" s="1072"/>
      <c r="AO138" s="1072"/>
      <c r="AP138" s="1072"/>
      <c r="AQ138" s="1072"/>
      <c r="AR138" s="1072"/>
      <c r="AS138" s="1072"/>
      <c r="AT138" s="1072"/>
      <c r="AU138" s="1072"/>
      <c r="AV138" s="1072"/>
      <c r="AW138" s="1072"/>
      <c r="AX138" s="1072"/>
      <c r="AY138" s="1072"/>
      <c r="AZ138" s="1072"/>
      <c r="BA138" s="1072"/>
      <c r="BB138" s="1072"/>
      <c r="BC138" s="1072"/>
      <c r="BD138" s="1072"/>
      <c r="BE138" s="1072"/>
      <c r="BF138" s="1072"/>
      <c r="BG138" s="1072"/>
      <c r="BH138" s="1072"/>
      <c r="BI138" s="1073">
        <f t="shared" si="660"/>
        <v>0</v>
      </c>
      <c r="BJ138" s="1073">
        <f t="shared" si="661"/>
        <v>0</v>
      </c>
      <c r="BK138" s="1073">
        <f t="shared" si="662"/>
        <v>0</v>
      </c>
      <c r="BL138" s="1073">
        <f t="shared" si="663"/>
        <v>0</v>
      </c>
      <c r="BM138" s="508"/>
    </row>
    <row r="139" spans="1:65" ht="39.75" thickTop="1" thickBot="1">
      <c r="A139" s="509"/>
      <c r="B139" s="509"/>
      <c r="C139" s="511"/>
      <c r="D139" s="511"/>
      <c r="E139" s="510"/>
      <c r="F139" s="510"/>
      <c r="G139" s="509"/>
      <c r="H139" s="1071" t="str">
        <f>+'Anexo 1 Matriz Inf Gestión-GD'!A143</f>
        <v>3208.01.02 Implementación de acciones para incluir el enfoque étnico, de género e intergeneracional en los procesos de educación ambiental. Asociado con el proyecto 6.2</v>
      </c>
      <c r="I139" s="1072"/>
      <c r="J139" s="1072"/>
      <c r="K139" s="1072"/>
      <c r="L139" s="1072"/>
      <c r="M139" s="1072"/>
      <c r="N139" s="1072"/>
      <c r="O139" s="1072"/>
      <c r="P139" s="1072"/>
      <c r="Q139" s="1072"/>
      <c r="R139" s="1072"/>
      <c r="S139" s="1072"/>
      <c r="T139" s="1072"/>
      <c r="U139" s="1072"/>
      <c r="V139" s="1072"/>
      <c r="W139" s="1072"/>
      <c r="X139" s="1072"/>
      <c r="Y139" s="1072"/>
      <c r="Z139" s="1072"/>
      <c r="AA139" s="1072"/>
      <c r="AB139" s="1072"/>
      <c r="AC139" s="1072"/>
      <c r="AD139" s="1072"/>
      <c r="AE139" s="1072"/>
      <c r="AF139" s="1072"/>
      <c r="AG139" s="1072"/>
      <c r="AH139" s="1072"/>
      <c r="AI139" s="1072"/>
      <c r="AJ139" s="1072"/>
      <c r="AK139" s="1072"/>
      <c r="AL139" s="1072"/>
      <c r="AM139" s="1072"/>
      <c r="AN139" s="1072"/>
      <c r="AO139" s="1072"/>
      <c r="AP139" s="1072"/>
      <c r="AQ139" s="1072"/>
      <c r="AR139" s="1072"/>
      <c r="AS139" s="1072"/>
      <c r="AT139" s="1072"/>
      <c r="AU139" s="1072"/>
      <c r="AV139" s="1072"/>
      <c r="AW139" s="1072"/>
      <c r="AX139" s="1072"/>
      <c r="AY139" s="1072"/>
      <c r="AZ139" s="1072"/>
      <c r="BA139" s="1072"/>
      <c r="BB139" s="1072"/>
      <c r="BC139" s="1072"/>
      <c r="BD139" s="1072"/>
      <c r="BE139" s="1072"/>
      <c r="BF139" s="1072"/>
      <c r="BG139" s="1072"/>
      <c r="BH139" s="1072"/>
      <c r="BI139" s="1073">
        <f t="shared" si="660"/>
        <v>0</v>
      </c>
      <c r="BJ139" s="1073">
        <f t="shared" si="661"/>
        <v>0</v>
      </c>
      <c r="BK139" s="1073">
        <f t="shared" si="662"/>
        <v>0</v>
      </c>
      <c r="BL139" s="1073">
        <f t="shared" si="663"/>
        <v>0</v>
      </c>
      <c r="BM139" s="508"/>
    </row>
    <row r="140" spans="1:65" ht="39.75" thickTop="1" thickBot="1">
      <c r="A140" s="509"/>
      <c r="B140" s="509"/>
      <c r="C140" s="511"/>
      <c r="D140" s="511"/>
      <c r="E140" s="510"/>
      <c r="F140" s="510"/>
      <c r="G140" s="509"/>
      <c r="H140" s="1071" t="str">
        <f>+'Anexo 1 Matriz Inf Gestión-GD'!A144</f>
        <v xml:space="preserve">3208.01.03 Creación de escenarios de diálogo entre los ciudadanos las entidades para la prevención de conflictos socioambientales, en armonía con la actividad 6.1.1 y el proyecto 6.3 </v>
      </c>
      <c r="I140" s="1072"/>
      <c r="J140" s="1072"/>
      <c r="K140" s="1072"/>
      <c r="L140" s="1072"/>
      <c r="M140" s="1072"/>
      <c r="N140" s="1072"/>
      <c r="O140" s="1072"/>
      <c r="P140" s="1072"/>
      <c r="Q140" s="1072"/>
      <c r="R140" s="1072"/>
      <c r="S140" s="1072"/>
      <c r="T140" s="1072"/>
      <c r="U140" s="1072"/>
      <c r="V140" s="1072"/>
      <c r="W140" s="1072"/>
      <c r="X140" s="1072"/>
      <c r="Y140" s="1072"/>
      <c r="Z140" s="1072"/>
      <c r="AA140" s="1072"/>
      <c r="AB140" s="1072"/>
      <c r="AC140" s="1072"/>
      <c r="AD140" s="1072"/>
      <c r="AE140" s="1072"/>
      <c r="AF140" s="1072"/>
      <c r="AG140" s="1072"/>
      <c r="AH140" s="1072"/>
      <c r="AI140" s="1072"/>
      <c r="AJ140" s="1072"/>
      <c r="AK140" s="1072"/>
      <c r="AL140" s="1072"/>
      <c r="AM140" s="1072"/>
      <c r="AN140" s="1072"/>
      <c r="AO140" s="1072"/>
      <c r="AP140" s="1072"/>
      <c r="AQ140" s="1072"/>
      <c r="AR140" s="1072"/>
      <c r="AS140" s="1072"/>
      <c r="AT140" s="1072"/>
      <c r="AU140" s="1072"/>
      <c r="AV140" s="1072"/>
      <c r="AW140" s="1072"/>
      <c r="AX140" s="1072"/>
      <c r="AY140" s="1072"/>
      <c r="AZ140" s="1072"/>
      <c r="BA140" s="1072"/>
      <c r="BB140" s="1072"/>
      <c r="BC140" s="1072"/>
      <c r="BD140" s="1072"/>
      <c r="BE140" s="1072"/>
      <c r="BF140" s="1072"/>
      <c r="BG140" s="1072"/>
      <c r="BH140" s="1072"/>
      <c r="BI140" s="1073">
        <f t="shared" si="660"/>
        <v>0</v>
      </c>
      <c r="BJ140" s="1073">
        <f t="shared" si="661"/>
        <v>0</v>
      </c>
      <c r="BK140" s="1073">
        <f t="shared" si="662"/>
        <v>0</v>
      </c>
      <c r="BL140" s="1073">
        <f t="shared" si="663"/>
        <v>0</v>
      </c>
      <c r="BM140" s="508"/>
    </row>
    <row r="141" spans="1:65" ht="27" thickTop="1" thickBot="1">
      <c r="A141" s="509"/>
      <c r="B141" s="509"/>
      <c r="C141" s="511"/>
      <c r="D141" s="511"/>
      <c r="E141" s="510"/>
      <c r="F141" s="510"/>
      <c r="G141" s="509"/>
      <c r="H141" s="1071" t="str">
        <f>+'Anexo 1 Matriz Inf Gestión-GD'!A145</f>
        <v>3208.01.05 Fortalecimiento y apoyo a la participación de los jóvenes de ambiente en el marco de la Política Nacional de Educación Ambiental</v>
      </c>
      <c r="I141" s="1072"/>
      <c r="J141" s="1072"/>
      <c r="K141" s="1072"/>
      <c r="L141" s="1072"/>
      <c r="M141" s="1072"/>
      <c r="N141" s="1072"/>
      <c r="O141" s="1072"/>
      <c r="P141" s="1072"/>
      <c r="Q141" s="1072"/>
      <c r="R141" s="1072"/>
      <c r="S141" s="1072"/>
      <c r="T141" s="1072"/>
      <c r="U141" s="1072"/>
      <c r="V141" s="1072"/>
      <c r="W141" s="1072"/>
      <c r="X141" s="1072"/>
      <c r="Y141" s="1072"/>
      <c r="Z141" s="1072"/>
      <c r="AA141" s="1072"/>
      <c r="AB141" s="1072"/>
      <c r="AC141" s="1072"/>
      <c r="AD141" s="1072"/>
      <c r="AE141" s="1072"/>
      <c r="AF141" s="1072"/>
      <c r="AG141" s="1072"/>
      <c r="AH141" s="1072"/>
      <c r="AI141" s="1072"/>
      <c r="AJ141" s="1072"/>
      <c r="AK141" s="1072"/>
      <c r="AL141" s="1072"/>
      <c r="AM141" s="1072"/>
      <c r="AN141" s="1072"/>
      <c r="AO141" s="1072"/>
      <c r="AP141" s="1072"/>
      <c r="AQ141" s="1072"/>
      <c r="AR141" s="1072"/>
      <c r="AS141" s="1072"/>
      <c r="AT141" s="1072"/>
      <c r="AU141" s="1072"/>
      <c r="AV141" s="1072"/>
      <c r="AW141" s="1072"/>
      <c r="AX141" s="1072"/>
      <c r="AY141" s="1072"/>
      <c r="AZ141" s="1072"/>
      <c r="BA141" s="1072"/>
      <c r="BB141" s="1072"/>
      <c r="BC141" s="1072"/>
      <c r="BD141" s="1072"/>
      <c r="BE141" s="1072"/>
      <c r="BF141" s="1072"/>
      <c r="BG141" s="1072"/>
      <c r="BH141" s="1072"/>
      <c r="BI141" s="1073">
        <f t="shared" si="660"/>
        <v>0</v>
      </c>
      <c r="BJ141" s="1073">
        <f t="shared" si="661"/>
        <v>0</v>
      </c>
      <c r="BK141" s="1073">
        <f t="shared" si="662"/>
        <v>0</v>
      </c>
      <c r="BL141" s="1073">
        <f t="shared" si="663"/>
        <v>0</v>
      </c>
      <c r="BM141" s="508"/>
    </row>
    <row r="142" spans="1:65" ht="52.5" thickTop="1" thickBot="1">
      <c r="A142" s="509"/>
      <c r="B142" s="509"/>
      <c r="C142" s="511"/>
      <c r="D142" s="511"/>
      <c r="E142" s="510"/>
      <c r="F142" s="510"/>
      <c r="G142" s="509"/>
      <c r="H142" s="1071" t="str">
        <f>+'Anexo 1 Matriz Inf Gestión-GD'!A146</f>
        <v>3208.01.04 Diseño e implementación de estrategias para el rescate y divulgación de los conocimientos tradicionales asociados al uso y manejo de la biodiversidad en el marco de la conmemoración del Bicentenario "200 Años de Biodiversidad", en armonía con el MADS</v>
      </c>
      <c r="I142" s="1072"/>
      <c r="J142" s="1072"/>
      <c r="K142" s="1072"/>
      <c r="L142" s="1072"/>
      <c r="M142" s="1072"/>
      <c r="N142" s="1072"/>
      <c r="O142" s="1072"/>
      <c r="P142" s="1072"/>
      <c r="Q142" s="1072"/>
      <c r="R142" s="1072"/>
      <c r="S142" s="1072"/>
      <c r="T142" s="1072"/>
      <c r="U142" s="1072"/>
      <c r="V142" s="1072"/>
      <c r="W142" s="1072"/>
      <c r="X142" s="1072"/>
      <c r="Y142" s="1072"/>
      <c r="Z142" s="1072"/>
      <c r="AA142" s="1072"/>
      <c r="AB142" s="1072"/>
      <c r="AC142" s="1072"/>
      <c r="AD142" s="1072"/>
      <c r="AE142" s="1072"/>
      <c r="AF142" s="1072"/>
      <c r="AG142" s="1072"/>
      <c r="AH142" s="1072"/>
      <c r="AI142" s="1072"/>
      <c r="AJ142" s="1072"/>
      <c r="AK142" s="1072"/>
      <c r="AL142" s="1072"/>
      <c r="AM142" s="1072"/>
      <c r="AN142" s="1072"/>
      <c r="AO142" s="1072"/>
      <c r="AP142" s="1072"/>
      <c r="AQ142" s="1072"/>
      <c r="AR142" s="1072"/>
      <c r="AS142" s="1072"/>
      <c r="AT142" s="1072"/>
      <c r="AU142" s="1072"/>
      <c r="AV142" s="1072"/>
      <c r="AW142" s="1072"/>
      <c r="AX142" s="1072"/>
      <c r="AY142" s="1072"/>
      <c r="AZ142" s="1072"/>
      <c r="BA142" s="1072"/>
      <c r="BB142" s="1072"/>
      <c r="BC142" s="1072"/>
      <c r="BD142" s="1072"/>
      <c r="BE142" s="1072"/>
      <c r="BF142" s="1072"/>
      <c r="BG142" s="1072"/>
      <c r="BH142" s="1072"/>
      <c r="BI142" s="1073">
        <f t="shared" si="660"/>
        <v>0</v>
      </c>
      <c r="BJ142" s="1073">
        <f t="shared" si="661"/>
        <v>0</v>
      </c>
      <c r="BK142" s="1073">
        <f t="shared" si="662"/>
        <v>0</v>
      </c>
      <c r="BL142" s="1073">
        <f t="shared" si="663"/>
        <v>0</v>
      </c>
      <c r="BM142" s="508"/>
    </row>
    <row r="143" spans="1:65" ht="65.25" thickTop="1" thickBot="1">
      <c r="A143" s="1066"/>
      <c r="B143" s="1066"/>
      <c r="C143" s="1066"/>
      <c r="D143" s="1066"/>
      <c r="E143" s="1077"/>
      <c r="F143" s="1077"/>
      <c r="G143" s="1078"/>
      <c r="H143" s="1067" t="str">
        <f>+'Anexo 1 Matriz Inf Gestión-GD'!A147</f>
        <v>Proyecto 3208.02 Fortalecimiento y optimización del programa transversal de Educación Ambiental de la Corporación, armonizado a la Política Nacional de Educación Ambiental de Colombia, en el contexto de la propuesta DEPARTAMENTO DEL CESAR - CORPOCESAR– 2020: "Por la sustentabilidad de la vida".</v>
      </c>
      <c r="I143" s="1068">
        <f>SUM(I144:I149)</f>
        <v>0</v>
      </c>
      <c r="J143" s="1068">
        <f t="shared" ref="J143:AL143" si="733">SUM(J144:J149)</f>
        <v>0</v>
      </c>
      <c r="K143" s="1068">
        <f t="shared" si="733"/>
        <v>0</v>
      </c>
      <c r="L143" s="1068">
        <f t="shared" si="733"/>
        <v>0</v>
      </c>
      <c r="M143" s="1068">
        <f t="shared" si="733"/>
        <v>0</v>
      </c>
      <c r="N143" s="1068">
        <f t="shared" si="733"/>
        <v>0</v>
      </c>
      <c r="O143" s="1068">
        <f t="shared" si="733"/>
        <v>0</v>
      </c>
      <c r="P143" s="1068">
        <f t="shared" si="733"/>
        <v>0</v>
      </c>
      <c r="Q143" s="1068">
        <f t="shared" si="733"/>
        <v>0</v>
      </c>
      <c r="R143" s="1068">
        <f t="shared" si="733"/>
        <v>0</v>
      </c>
      <c r="S143" s="1068">
        <f t="shared" si="733"/>
        <v>0</v>
      </c>
      <c r="T143" s="1068">
        <f t="shared" si="733"/>
        <v>0</v>
      </c>
      <c r="U143" s="1068">
        <f t="shared" si="733"/>
        <v>0</v>
      </c>
      <c r="V143" s="1068">
        <f t="shared" si="733"/>
        <v>0</v>
      </c>
      <c r="W143" s="1068">
        <f t="shared" si="733"/>
        <v>0</v>
      </c>
      <c r="X143" s="1068">
        <f t="shared" si="733"/>
        <v>0</v>
      </c>
      <c r="Y143" s="1068">
        <f t="shared" si="733"/>
        <v>0</v>
      </c>
      <c r="Z143" s="1068">
        <f t="shared" si="733"/>
        <v>0</v>
      </c>
      <c r="AA143" s="1068">
        <f t="shared" si="733"/>
        <v>0</v>
      </c>
      <c r="AB143" s="1068">
        <f t="shared" si="733"/>
        <v>0</v>
      </c>
      <c r="AC143" s="1068">
        <f t="shared" si="733"/>
        <v>0</v>
      </c>
      <c r="AD143" s="1068">
        <f t="shared" si="733"/>
        <v>0</v>
      </c>
      <c r="AE143" s="1068">
        <f t="shared" si="733"/>
        <v>0</v>
      </c>
      <c r="AF143" s="1068">
        <f t="shared" si="733"/>
        <v>0</v>
      </c>
      <c r="AG143" s="1068">
        <f t="shared" si="733"/>
        <v>0</v>
      </c>
      <c r="AH143" s="1068">
        <f t="shared" si="733"/>
        <v>0</v>
      </c>
      <c r="AI143" s="1068">
        <f t="shared" si="733"/>
        <v>0</v>
      </c>
      <c r="AJ143" s="1068">
        <f t="shared" si="733"/>
        <v>0</v>
      </c>
      <c r="AK143" s="1068">
        <f t="shared" si="733"/>
        <v>0</v>
      </c>
      <c r="AL143" s="1068">
        <f t="shared" si="733"/>
        <v>0</v>
      </c>
      <c r="AM143" s="1068">
        <f t="shared" ref="AM143" si="734">SUM(AM144:AM149)</f>
        <v>0</v>
      </c>
      <c r="AN143" s="1068">
        <f t="shared" ref="AN143" si="735">SUM(AN144:AN149)</f>
        <v>0</v>
      </c>
      <c r="AO143" s="1068">
        <f t="shared" ref="AO143" si="736">SUM(AO144:AO149)</f>
        <v>0</v>
      </c>
      <c r="AP143" s="1068">
        <f t="shared" ref="AP143" si="737">SUM(AP144:AP149)</f>
        <v>0</v>
      </c>
      <c r="AQ143" s="1068">
        <f t="shared" ref="AQ143" si="738">SUM(AQ144:AQ149)</f>
        <v>0</v>
      </c>
      <c r="AR143" s="1068">
        <f t="shared" ref="AR143" si="739">SUM(AR144:AR149)</f>
        <v>0</v>
      </c>
      <c r="AS143" s="1068">
        <f t="shared" ref="AS143" si="740">SUM(AS144:AS149)</f>
        <v>0</v>
      </c>
      <c r="AT143" s="1068">
        <f t="shared" ref="AT143" si="741">SUM(AT144:AT149)</f>
        <v>0</v>
      </c>
      <c r="AU143" s="1068">
        <f t="shared" ref="AU143" si="742">SUM(AU144:AU149)</f>
        <v>0</v>
      </c>
      <c r="AV143" s="1068">
        <f t="shared" ref="AV143" si="743">SUM(AV144:AV149)</f>
        <v>0</v>
      </c>
      <c r="AW143" s="1068">
        <f t="shared" ref="AW143" si="744">SUM(AW144:AW149)</f>
        <v>0</v>
      </c>
      <c r="AX143" s="1068">
        <f t="shared" ref="AX143" si="745">SUM(AX144:AX149)</f>
        <v>0</v>
      </c>
      <c r="AY143" s="1068">
        <f t="shared" ref="AY143" si="746">SUM(AY144:AY149)</f>
        <v>0</v>
      </c>
      <c r="AZ143" s="1068">
        <f t="shared" ref="AZ143" si="747">SUM(AZ144:AZ149)</f>
        <v>0</v>
      </c>
      <c r="BA143" s="1068">
        <f t="shared" ref="BA143" si="748">SUM(BA144:BA149)</f>
        <v>0</v>
      </c>
      <c r="BB143" s="1068">
        <f t="shared" ref="BB143" si="749">SUM(BB144:BB149)</f>
        <v>0</v>
      </c>
      <c r="BC143" s="1068">
        <f t="shared" ref="BC143" si="750">SUM(BC144:BC149)</f>
        <v>0</v>
      </c>
      <c r="BD143" s="1068">
        <f t="shared" ref="BD143" si="751">SUM(BD144:BD149)</f>
        <v>0</v>
      </c>
      <c r="BE143" s="1068">
        <f t="shared" ref="BE143" si="752">SUM(BE144:BE149)</f>
        <v>0</v>
      </c>
      <c r="BF143" s="1068">
        <f t="shared" ref="BF143" si="753">SUM(BF144:BF149)</f>
        <v>0</v>
      </c>
      <c r="BG143" s="1068">
        <f t="shared" ref="BG143" si="754">SUM(BG144:BG149)</f>
        <v>0</v>
      </c>
      <c r="BH143" s="1068">
        <f t="shared" ref="BH143" si="755">SUM(BH144:BH149)</f>
        <v>0</v>
      </c>
      <c r="BI143" s="1069">
        <f t="shared" si="660"/>
        <v>0</v>
      </c>
      <c r="BJ143" s="1069">
        <f t="shared" si="661"/>
        <v>0</v>
      </c>
      <c r="BK143" s="1069">
        <f t="shared" si="662"/>
        <v>0</v>
      </c>
      <c r="BL143" s="1069">
        <f t="shared" si="663"/>
        <v>0</v>
      </c>
      <c r="BM143" s="1070"/>
    </row>
    <row r="144" spans="1:65" ht="16.5" thickTop="1" thickBot="1">
      <c r="A144" s="509"/>
      <c r="B144" s="509"/>
      <c r="C144" s="511"/>
      <c r="D144" s="511"/>
      <c r="E144" s="510"/>
      <c r="F144" s="510"/>
      <c r="G144" s="509"/>
      <c r="H144" s="1071" t="str">
        <f>+'Anexo 1 Matriz Inf Gestión-GD'!A148</f>
        <v>3208.02.01 Apoyo a la implementación de PRAUS, con enfoque en cambio climático.</v>
      </c>
      <c r="I144" s="1072"/>
      <c r="J144" s="1072"/>
      <c r="K144" s="1072"/>
      <c r="L144" s="1072"/>
      <c r="M144" s="1072"/>
      <c r="N144" s="1072"/>
      <c r="O144" s="1072"/>
      <c r="P144" s="1072"/>
      <c r="Q144" s="1072"/>
      <c r="R144" s="1072"/>
      <c r="S144" s="1072"/>
      <c r="T144" s="1072"/>
      <c r="U144" s="1072"/>
      <c r="V144" s="1072"/>
      <c r="W144" s="1072"/>
      <c r="X144" s="1072"/>
      <c r="Y144" s="1072"/>
      <c r="Z144" s="1072"/>
      <c r="AA144" s="1072"/>
      <c r="AB144" s="1072"/>
      <c r="AC144" s="1072"/>
      <c r="AD144" s="1072"/>
      <c r="AE144" s="1072"/>
      <c r="AF144" s="1072"/>
      <c r="AG144" s="1072"/>
      <c r="AH144" s="1072"/>
      <c r="AI144" s="1072"/>
      <c r="AJ144" s="1072"/>
      <c r="AK144" s="1072"/>
      <c r="AL144" s="1072"/>
      <c r="AM144" s="1072"/>
      <c r="AN144" s="1072"/>
      <c r="AO144" s="1072"/>
      <c r="AP144" s="1072"/>
      <c r="AQ144" s="1072"/>
      <c r="AR144" s="1072"/>
      <c r="AS144" s="1072"/>
      <c r="AT144" s="1072"/>
      <c r="AU144" s="1072"/>
      <c r="AV144" s="1072"/>
      <c r="AW144" s="1072"/>
      <c r="AX144" s="1072"/>
      <c r="AY144" s="1072"/>
      <c r="AZ144" s="1072"/>
      <c r="BA144" s="1072"/>
      <c r="BB144" s="1072"/>
      <c r="BC144" s="1072"/>
      <c r="BD144" s="1072"/>
      <c r="BE144" s="1072"/>
      <c r="BF144" s="1072"/>
      <c r="BG144" s="1072"/>
      <c r="BH144" s="1072"/>
      <c r="BI144" s="1073">
        <f t="shared" si="660"/>
        <v>0</v>
      </c>
      <c r="BJ144" s="1073">
        <f t="shared" si="661"/>
        <v>0</v>
      </c>
      <c r="BK144" s="1073">
        <f t="shared" si="662"/>
        <v>0</v>
      </c>
      <c r="BL144" s="1073">
        <f t="shared" si="663"/>
        <v>0</v>
      </c>
      <c r="BM144" s="508"/>
    </row>
    <row r="145" spans="1:65" ht="16.5" thickTop="1" thickBot="1">
      <c r="A145" s="509"/>
      <c r="B145" s="509"/>
      <c r="C145" s="511"/>
      <c r="D145" s="511"/>
      <c r="E145" s="510"/>
      <c r="F145" s="510"/>
      <c r="G145" s="509"/>
      <c r="H145" s="1071" t="str">
        <f>+'Anexo 1 Matriz Inf Gestión-GD'!A149</f>
        <v>3208.02.03 Resignificación de los CIDEAS</v>
      </c>
      <c r="I145" s="1072"/>
      <c r="J145" s="1072"/>
      <c r="K145" s="1072"/>
      <c r="L145" s="1072"/>
      <c r="M145" s="1072"/>
      <c r="N145" s="1072"/>
      <c r="O145" s="1072"/>
      <c r="P145" s="1072"/>
      <c r="Q145" s="1072"/>
      <c r="R145" s="1072"/>
      <c r="S145" s="1072"/>
      <c r="T145" s="1072"/>
      <c r="U145" s="1072"/>
      <c r="V145" s="1072"/>
      <c r="W145" s="1072"/>
      <c r="X145" s="1072"/>
      <c r="Y145" s="1072"/>
      <c r="Z145" s="1072"/>
      <c r="AA145" s="1072"/>
      <c r="AB145" s="1072"/>
      <c r="AC145" s="1072"/>
      <c r="AD145" s="1072"/>
      <c r="AE145" s="1072"/>
      <c r="AF145" s="1072"/>
      <c r="AG145" s="1072"/>
      <c r="AH145" s="1072"/>
      <c r="AI145" s="1072"/>
      <c r="AJ145" s="1072"/>
      <c r="AK145" s="1072"/>
      <c r="AL145" s="1072"/>
      <c r="AM145" s="1072"/>
      <c r="AN145" s="1072"/>
      <c r="AO145" s="1072"/>
      <c r="AP145" s="1072"/>
      <c r="AQ145" s="1072"/>
      <c r="AR145" s="1072"/>
      <c r="AS145" s="1072"/>
      <c r="AT145" s="1072"/>
      <c r="AU145" s="1072"/>
      <c r="AV145" s="1072"/>
      <c r="AW145" s="1072"/>
      <c r="AX145" s="1072"/>
      <c r="AY145" s="1072"/>
      <c r="AZ145" s="1072"/>
      <c r="BA145" s="1072"/>
      <c r="BB145" s="1072"/>
      <c r="BC145" s="1072"/>
      <c r="BD145" s="1072"/>
      <c r="BE145" s="1072"/>
      <c r="BF145" s="1072"/>
      <c r="BG145" s="1072"/>
      <c r="BH145" s="1072"/>
      <c r="BI145" s="1073">
        <f t="shared" si="660"/>
        <v>0</v>
      </c>
      <c r="BJ145" s="1073">
        <f t="shared" si="661"/>
        <v>0</v>
      </c>
      <c r="BK145" s="1073">
        <f t="shared" si="662"/>
        <v>0</v>
      </c>
      <c r="BL145" s="1073">
        <f t="shared" si="663"/>
        <v>0</v>
      </c>
      <c r="BM145" s="508"/>
    </row>
    <row r="146" spans="1:65" ht="16.5" thickTop="1" thickBot="1">
      <c r="A146" s="509"/>
      <c r="B146" s="509"/>
      <c r="C146" s="511"/>
      <c r="D146" s="511"/>
      <c r="E146" s="510"/>
      <c r="F146" s="510"/>
      <c r="G146" s="509"/>
      <c r="H146" s="1071" t="str">
        <f>+'Anexo 1 Matriz Inf Gestión-GD'!A150</f>
        <v>3208.02.04 Promoción y Fortalecimiento a los CIDEAS</v>
      </c>
      <c r="I146" s="1072"/>
      <c r="J146" s="1072"/>
      <c r="K146" s="1072"/>
      <c r="L146" s="1072"/>
      <c r="M146" s="1072"/>
      <c r="N146" s="1072"/>
      <c r="O146" s="1072"/>
      <c r="P146" s="1072"/>
      <c r="Q146" s="1072"/>
      <c r="R146" s="1072"/>
      <c r="S146" s="1072"/>
      <c r="T146" s="1072"/>
      <c r="U146" s="1072"/>
      <c r="V146" s="1072"/>
      <c r="W146" s="1072"/>
      <c r="X146" s="1072"/>
      <c r="Y146" s="1072"/>
      <c r="Z146" s="1072"/>
      <c r="AA146" s="1072"/>
      <c r="AB146" s="1072"/>
      <c r="AC146" s="1072"/>
      <c r="AD146" s="1072"/>
      <c r="AE146" s="1072"/>
      <c r="AF146" s="1072"/>
      <c r="AG146" s="1072"/>
      <c r="AH146" s="1072"/>
      <c r="AI146" s="1072"/>
      <c r="AJ146" s="1072"/>
      <c r="AK146" s="1072"/>
      <c r="AL146" s="1072"/>
      <c r="AM146" s="1072"/>
      <c r="AN146" s="1072"/>
      <c r="AO146" s="1072"/>
      <c r="AP146" s="1072"/>
      <c r="AQ146" s="1072"/>
      <c r="AR146" s="1072"/>
      <c r="AS146" s="1072"/>
      <c r="AT146" s="1072"/>
      <c r="AU146" s="1072"/>
      <c r="AV146" s="1072"/>
      <c r="AW146" s="1072"/>
      <c r="AX146" s="1072"/>
      <c r="AY146" s="1072"/>
      <c r="AZ146" s="1072"/>
      <c r="BA146" s="1072"/>
      <c r="BB146" s="1072"/>
      <c r="BC146" s="1072"/>
      <c r="BD146" s="1072"/>
      <c r="BE146" s="1072"/>
      <c r="BF146" s="1072"/>
      <c r="BG146" s="1072"/>
      <c r="BH146" s="1072"/>
      <c r="BI146" s="1073">
        <f t="shared" si="660"/>
        <v>0</v>
      </c>
      <c r="BJ146" s="1073">
        <f t="shared" si="661"/>
        <v>0</v>
      </c>
      <c r="BK146" s="1073">
        <f t="shared" si="662"/>
        <v>0</v>
      </c>
      <c r="BL146" s="1073">
        <f t="shared" si="663"/>
        <v>0</v>
      </c>
      <c r="BM146" s="508"/>
    </row>
    <row r="147" spans="1:65" ht="27" thickTop="1" thickBot="1">
      <c r="A147" s="509"/>
      <c r="B147" s="509"/>
      <c r="C147" s="511"/>
      <c r="D147" s="511"/>
      <c r="E147" s="510"/>
      <c r="F147" s="510"/>
      <c r="G147" s="509"/>
      <c r="H147" s="1071" t="str">
        <f>+'Anexo 1 Matriz Inf Gestión-GD'!A151</f>
        <v>3208.02.05 Promoción del desarrollo de la dimensión ambiental en la educación no formal (PROCEDAS, empresas, investigación en tecnologías limpias).</v>
      </c>
      <c r="I147" s="1072"/>
      <c r="J147" s="1072"/>
      <c r="K147" s="1072"/>
      <c r="L147" s="1072"/>
      <c r="M147" s="1072"/>
      <c r="N147" s="1072"/>
      <c r="O147" s="1072"/>
      <c r="P147" s="1072"/>
      <c r="Q147" s="1072"/>
      <c r="R147" s="1072"/>
      <c r="S147" s="1072"/>
      <c r="T147" s="1072"/>
      <c r="U147" s="1072"/>
      <c r="V147" s="1072"/>
      <c r="W147" s="1072"/>
      <c r="X147" s="1072"/>
      <c r="Y147" s="1072"/>
      <c r="Z147" s="1072"/>
      <c r="AA147" s="1072"/>
      <c r="AB147" s="1072"/>
      <c r="AC147" s="1072"/>
      <c r="AD147" s="1072"/>
      <c r="AE147" s="1072"/>
      <c r="AF147" s="1072"/>
      <c r="AG147" s="1072"/>
      <c r="AH147" s="1072"/>
      <c r="AI147" s="1072"/>
      <c r="AJ147" s="1072"/>
      <c r="AK147" s="1072"/>
      <c r="AL147" s="1072"/>
      <c r="AM147" s="1072"/>
      <c r="AN147" s="1072"/>
      <c r="AO147" s="1072"/>
      <c r="AP147" s="1072"/>
      <c r="AQ147" s="1072"/>
      <c r="AR147" s="1072"/>
      <c r="AS147" s="1072"/>
      <c r="AT147" s="1072"/>
      <c r="AU147" s="1072"/>
      <c r="AV147" s="1072"/>
      <c r="AW147" s="1072"/>
      <c r="AX147" s="1072"/>
      <c r="AY147" s="1072"/>
      <c r="AZ147" s="1072"/>
      <c r="BA147" s="1072"/>
      <c r="BB147" s="1072"/>
      <c r="BC147" s="1072"/>
      <c r="BD147" s="1072"/>
      <c r="BE147" s="1072"/>
      <c r="BF147" s="1072"/>
      <c r="BG147" s="1072"/>
      <c r="BH147" s="1072"/>
      <c r="BI147" s="1073">
        <f t="shared" si="660"/>
        <v>0</v>
      </c>
      <c r="BJ147" s="1073">
        <f t="shared" si="661"/>
        <v>0</v>
      </c>
      <c r="BK147" s="1073">
        <f t="shared" si="662"/>
        <v>0</v>
      </c>
      <c r="BL147" s="1073">
        <f t="shared" si="663"/>
        <v>0</v>
      </c>
      <c r="BM147" s="508"/>
    </row>
    <row r="148" spans="1:65" ht="27" thickTop="1" thickBot="1">
      <c r="A148" s="509"/>
      <c r="B148" s="509"/>
      <c r="C148" s="511"/>
      <c r="D148" s="511"/>
      <c r="E148" s="510"/>
      <c r="F148" s="510"/>
      <c r="G148" s="509"/>
      <c r="H148" s="1071" t="str">
        <f>+'Anexo 1 Matriz Inf Gestión-GD'!A152</f>
        <v>3208.02.02 Resignificación de los  PRAES  (Promoción de la incorporación de la dimensión ambiental en la educación formal (contenidos curriculares en PRAES)</v>
      </c>
      <c r="I148" s="1072"/>
      <c r="J148" s="1072"/>
      <c r="K148" s="1072"/>
      <c r="L148" s="1072"/>
      <c r="M148" s="1072"/>
      <c r="N148" s="1072"/>
      <c r="O148" s="1072"/>
      <c r="P148" s="1072"/>
      <c r="Q148" s="1072"/>
      <c r="R148" s="1072"/>
      <c r="S148" s="1072"/>
      <c r="T148" s="1072"/>
      <c r="U148" s="1072"/>
      <c r="V148" s="1072"/>
      <c r="W148" s="1072"/>
      <c r="X148" s="1072"/>
      <c r="Y148" s="1072"/>
      <c r="Z148" s="1072"/>
      <c r="AA148" s="1072"/>
      <c r="AB148" s="1072"/>
      <c r="AC148" s="1072"/>
      <c r="AD148" s="1072"/>
      <c r="AE148" s="1072"/>
      <c r="AF148" s="1072"/>
      <c r="AG148" s="1072"/>
      <c r="AH148" s="1072"/>
      <c r="AI148" s="1072"/>
      <c r="AJ148" s="1072"/>
      <c r="AK148" s="1072"/>
      <c r="AL148" s="1072"/>
      <c r="AM148" s="1072"/>
      <c r="AN148" s="1072"/>
      <c r="AO148" s="1072"/>
      <c r="AP148" s="1072"/>
      <c r="AQ148" s="1072"/>
      <c r="AR148" s="1072"/>
      <c r="AS148" s="1072"/>
      <c r="AT148" s="1072"/>
      <c r="AU148" s="1072"/>
      <c r="AV148" s="1072"/>
      <c r="AW148" s="1072"/>
      <c r="AX148" s="1072"/>
      <c r="AY148" s="1072"/>
      <c r="AZ148" s="1072"/>
      <c r="BA148" s="1072"/>
      <c r="BB148" s="1072"/>
      <c r="BC148" s="1072"/>
      <c r="BD148" s="1072"/>
      <c r="BE148" s="1072"/>
      <c r="BF148" s="1072"/>
      <c r="BG148" s="1072"/>
      <c r="BH148" s="1072"/>
      <c r="BI148" s="1073">
        <f t="shared" si="660"/>
        <v>0</v>
      </c>
      <c r="BJ148" s="1073">
        <f t="shared" si="661"/>
        <v>0</v>
      </c>
      <c r="BK148" s="1073">
        <f t="shared" si="662"/>
        <v>0</v>
      </c>
      <c r="BL148" s="1073">
        <f t="shared" si="663"/>
        <v>0</v>
      </c>
      <c r="BM148" s="508"/>
    </row>
    <row r="149" spans="1:65" ht="27" thickTop="1" thickBot="1">
      <c r="A149" s="509"/>
      <c r="B149" s="509"/>
      <c r="C149" s="511"/>
      <c r="D149" s="511"/>
      <c r="E149" s="510"/>
      <c r="F149" s="510"/>
      <c r="G149" s="509"/>
      <c r="H149" s="1071" t="str">
        <f>+'Anexo 1 Matriz Inf Gestión-GD'!A153</f>
        <v>3208.02.06 Apoyo al diseño, implementación y promoción de planes y acciones de educación ambiental, con enfoque en cambio climático, en asocio con el proyecto 2.1</v>
      </c>
      <c r="I149" s="1072"/>
      <c r="J149" s="1072"/>
      <c r="K149" s="1072"/>
      <c r="L149" s="1072"/>
      <c r="M149" s="1072"/>
      <c r="N149" s="1072"/>
      <c r="O149" s="1072"/>
      <c r="P149" s="1072"/>
      <c r="Q149" s="1072"/>
      <c r="R149" s="1072"/>
      <c r="S149" s="1072"/>
      <c r="T149" s="1072"/>
      <c r="U149" s="1072"/>
      <c r="V149" s="1072"/>
      <c r="W149" s="1072"/>
      <c r="X149" s="1072"/>
      <c r="Y149" s="1072"/>
      <c r="Z149" s="1072"/>
      <c r="AA149" s="1072"/>
      <c r="AB149" s="1072"/>
      <c r="AC149" s="1072"/>
      <c r="AD149" s="1072"/>
      <c r="AE149" s="1072"/>
      <c r="AF149" s="1072"/>
      <c r="AG149" s="1072"/>
      <c r="AH149" s="1072"/>
      <c r="AI149" s="1072"/>
      <c r="AJ149" s="1072"/>
      <c r="AK149" s="1072"/>
      <c r="AL149" s="1072"/>
      <c r="AM149" s="1072"/>
      <c r="AN149" s="1072"/>
      <c r="AO149" s="1072"/>
      <c r="AP149" s="1072"/>
      <c r="AQ149" s="1072"/>
      <c r="AR149" s="1072"/>
      <c r="AS149" s="1072"/>
      <c r="AT149" s="1072"/>
      <c r="AU149" s="1072"/>
      <c r="AV149" s="1072"/>
      <c r="AW149" s="1072"/>
      <c r="AX149" s="1072"/>
      <c r="AY149" s="1072"/>
      <c r="AZ149" s="1072"/>
      <c r="BA149" s="1072"/>
      <c r="BB149" s="1072"/>
      <c r="BC149" s="1072"/>
      <c r="BD149" s="1072"/>
      <c r="BE149" s="1072"/>
      <c r="BF149" s="1072"/>
      <c r="BG149" s="1072"/>
      <c r="BH149" s="1072"/>
      <c r="BI149" s="1073">
        <f t="shared" si="660"/>
        <v>0</v>
      </c>
      <c r="BJ149" s="1073">
        <f t="shared" si="661"/>
        <v>0</v>
      </c>
      <c r="BK149" s="1073">
        <f t="shared" si="662"/>
        <v>0</v>
      </c>
      <c r="BL149" s="1073">
        <f t="shared" si="663"/>
        <v>0</v>
      </c>
      <c r="BM149" s="508"/>
    </row>
    <row r="150" spans="1:65" ht="39.75" thickTop="1" thickBot="1">
      <c r="A150" s="1066"/>
      <c r="B150" s="1066"/>
      <c r="C150" s="1066"/>
      <c r="D150" s="1066"/>
      <c r="E150" s="1077"/>
      <c r="F150" s="1077"/>
      <c r="G150" s="1078"/>
      <c r="H150" s="1067" t="str">
        <f>+'Anexo 1 Matriz Inf Gestión-GD'!A154</f>
        <v>Proyecto 3208.03 Planeación, gestión e Implementación de acciones  para el manejo de conflictos socioambientales  asociados a la productividad económica y/o uso de RN en áreas estratégicas del Cesar.</v>
      </c>
      <c r="I150" s="1068">
        <f>SUM(I151:I153)</f>
        <v>0</v>
      </c>
      <c r="J150" s="1068">
        <f t="shared" ref="J150:AL150" si="756">SUM(J151:J153)</f>
        <v>0</v>
      </c>
      <c r="K150" s="1068">
        <f t="shared" si="756"/>
        <v>0</v>
      </c>
      <c r="L150" s="1068">
        <f t="shared" si="756"/>
        <v>0</v>
      </c>
      <c r="M150" s="1068">
        <f t="shared" si="756"/>
        <v>0</v>
      </c>
      <c r="N150" s="1068">
        <f t="shared" si="756"/>
        <v>0</v>
      </c>
      <c r="O150" s="1068">
        <f t="shared" si="756"/>
        <v>0</v>
      </c>
      <c r="P150" s="1068">
        <f t="shared" si="756"/>
        <v>0</v>
      </c>
      <c r="Q150" s="1068">
        <f t="shared" si="756"/>
        <v>0</v>
      </c>
      <c r="R150" s="1068">
        <f t="shared" si="756"/>
        <v>0</v>
      </c>
      <c r="S150" s="1068">
        <f t="shared" si="756"/>
        <v>0</v>
      </c>
      <c r="T150" s="1068">
        <f t="shared" si="756"/>
        <v>0</v>
      </c>
      <c r="U150" s="1068">
        <f t="shared" si="756"/>
        <v>0</v>
      </c>
      <c r="V150" s="1068">
        <f t="shared" si="756"/>
        <v>0</v>
      </c>
      <c r="W150" s="1068">
        <f t="shared" si="756"/>
        <v>0</v>
      </c>
      <c r="X150" s="1068">
        <f t="shared" si="756"/>
        <v>0</v>
      </c>
      <c r="Y150" s="1068">
        <f t="shared" si="756"/>
        <v>0</v>
      </c>
      <c r="Z150" s="1068">
        <f t="shared" si="756"/>
        <v>0</v>
      </c>
      <c r="AA150" s="1068">
        <f t="shared" si="756"/>
        <v>0</v>
      </c>
      <c r="AB150" s="1068">
        <f t="shared" si="756"/>
        <v>0</v>
      </c>
      <c r="AC150" s="1068">
        <f t="shared" si="756"/>
        <v>0</v>
      </c>
      <c r="AD150" s="1068">
        <f t="shared" si="756"/>
        <v>0</v>
      </c>
      <c r="AE150" s="1068">
        <f t="shared" si="756"/>
        <v>0</v>
      </c>
      <c r="AF150" s="1068">
        <f t="shared" si="756"/>
        <v>0</v>
      </c>
      <c r="AG150" s="1068">
        <f t="shared" si="756"/>
        <v>0</v>
      </c>
      <c r="AH150" s="1068">
        <f t="shared" si="756"/>
        <v>0</v>
      </c>
      <c r="AI150" s="1068">
        <f t="shared" si="756"/>
        <v>0</v>
      </c>
      <c r="AJ150" s="1068">
        <f t="shared" si="756"/>
        <v>0</v>
      </c>
      <c r="AK150" s="1068">
        <f t="shared" si="756"/>
        <v>0</v>
      </c>
      <c r="AL150" s="1068">
        <f t="shared" si="756"/>
        <v>0</v>
      </c>
      <c r="AM150" s="1068">
        <f t="shared" ref="AM150" si="757">SUM(AM151:AM153)</f>
        <v>0</v>
      </c>
      <c r="AN150" s="1068">
        <f t="shared" ref="AN150" si="758">SUM(AN151:AN153)</f>
        <v>0</v>
      </c>
      <c r="AO150" s="1068">
        <f t="shared" ref="AO150" si="759">SUM(AO151:AO153)</f>
        <v>0</v>
      </c>
      <c r="AP150" s="1068">
        <f t="shared" ref="AP150" si="760">SUM(AP151:AP153)</f>
        <v>0</v>
      </c>
      <c r="AQ150" s="1068">
        <f t="shared" ref="AQ150" si="761">SUM(AQ151:AQ153)</f>
        <v>0</v>
      </c>
      <c r="AR150" s="1068">
        <f t="shared" ref="AR150" si="762">SUM(AR151:AR153)</f>
        <v>0</v>
      </c>
      <c r="AS150" s="1068">
        <f t="shared" ref="AS150" si="763">SUM(AS151:AS153)</f>
        <v>0</v>
      </c>
      <c r="AT150" s="1068">
        <f t="shared" ref="AT150" si="764">SUM(AT151:AT153)</f>
        <v>0</v>
      </c>
      <c r="AU150" s="1068">
        <f t="shared" ref="AU150" si="765">SUM(AU151:AU153)</f>
        <v>0</v>
      </c>
      <c r="AV150" s="1068">
        <f t="shared" ref="AV150" si="766">SUM(AV151:AV153)</f>
        <v>0</v>
      </c>
      <c r="AW150" s="1068">
        <f t="shared" ref="AW150" si="767">SUM(AW151:AW153)</f>
        <v>0</v>
      </c>
      <c r="AX150" s="1068">
        <f t="shared" ref="AX150" si="768">SUM(AX151:AX153)</f>
        <v>0</v>
      </c>
      <c r="AY150" s="1068">
        <f t="shared" ref="AY150" si="769">SUM(AY151:AY153)</f>
        <v>0</v>
      </c>
      <c r="AZ150" s="1068">
        <f t="shared" ref="AZ150" si="770">SUM(AZ151:AZ153)</f>
        <v>0</v>
      </c>
      <c r="BA150" s="1068">
        <f t="shared" ref="BA150" si="771">SUM(BA151:BA153)</f>
        <v>0</v>
      </c>
      <c r="BB150" s="1068">
        <f t="shared" ref="BB150" si="772">SUM(BB151:BB153)</f>
        <v>0</v>
      </c>
      <c r="BC150" s="1068">
        <f t="shared" ref="BC150" si="773">SUM(BC151:BC153)</f>
        <v>0</v>
      </c>
      <c r="BD150" s="1068">
        <f t="shared" ref="BD150" si="774">SUM(BD151:BD153)</f>
        <v>0</v>
      </c>
      <c r="BE150" s="1068">
        <f t="shared" ref="BE150" si="775">SUM(BE151:BE153)</f>
        <v>0</v>
      </c>
      <c r="BF150" s="1068">
        <f t="shared" ref="BF150" si="776">SUM(BF151:BF153)</f>
        <v>0</v>
      </c>
      <c r="BG150" s="1068">
        <f t="shared" ref="BG150" si="777">SUM(BG151:BG153)</f>
        <v>0</v>
      </c>
      <c r="BH150" s="1068">
        <f t="shared" ref="BH150" si="778">SUM(BH151:BH153)</f>
        <v>0</v>
      </c>
      <c r="BI150" s="1069">
        <f t="shared" si="660"/>
        <v>0</v>
      </c>
      <c r="BJ150" s="1069">
        <f t="shared" si="661"/>
        <v>0</v>
      </c>
      <c r="BK150" s="1069">
        <f t="shared" si="662"/>
        <v>0</v>
      </c>
      <c r="BL150" s="1069">
        <f t="shared" si="663"/>
        <v>0</v>
      </c>
      <c r="BM150" s="1070"/>
    </row>
    <row r="151" spans="1:65" ht="39.75" thickTop="1" thickBot="1">
      <c r="A151" s="509"/>
      <c r="B151" s="509"/>
      <c r="C151" s="511"/>
      <c r="D151" s="511"/>
      <c r="E151" s="510"/>
      <c r="F151" s="510"/>
      <c r="G151" s="509"/>
      <c r="H151" s="1071" t="str">
        <f>+'Anexo 1 Matriz Inf Gestión-GD'!A155</f>
        <v>3208.03.01 Apoyo a la estructuración, implementación y evaluación de compromisos en negocios verdes con enfoque cultural y/o diferencial (comunidad étnica, y afrodescendiente). en armonía con la actividad 5.1.4</v>
      </c>
      <c r="I151" s="1072"/>
      <c r="J151" s="1072"/>
      <c r="K151" s="1072"/>
      <c r="L151" s="1072"/>
      <c r="M151" s="1072"/>
      <c r="N151" s="1072"/>
      <c r="O151" s="1072"/>
      <c r="P151" s="1072"/>
      <c r="Q151" s="1072"/>
      <c r="R151" s="1072"/>
      <c r="S151" s="1072"/>
      <c r="T151" s="1072"/>
      <c r="U151" s="1072"/>
      <c r="V151" s="1072"/>
      <c r="W151" s="1072"/>
      <c r="X151" s="1072"/>
      <c r="Y151" s="1072"/>
      <c r="Z151" s="1072"/>
      <c r="AA151" s="1072"/>
      <c r="AB151" s="1072"/>
      <c r="AC151" s="1072"/>
      <c r="AD151" s="1072"/>
      <c r="AE151" s="1072"/>
      <c r="AF151" s="1072"/>
      <c r="AG151" s="1072"/>
      <c r="AH151" s="1072"/>
      <c r="AI151" s="1072"/>
      <c r="AJ151" s="1072"/>
      <c r="AK151" s="1072"/>
      <c r="AL151" s="1072"/>
      <c r="AM151" s="1072"/>
      <c r="AN151" s="1072"/>
      <c r="AO151" s="1072"/>
      <c r="AP151" s="1072"/>
      <c r="AQ151" s="1072"/>
      <c r="AR151" s="1072"/>
      <c r="AS151" s="1072"/>
      <c r="AT151" s="1072"/>
      <c r="AU151" s="1072"/>
      <c r="AV151" s="1072"/>
      <c r="AW151" s="1072"/>
      <c r="AX151" s="1072"/>
      <c r="AY151" s="1072"/>
      <c r="AZ151" s="1072"/>
      <c r="BA151" s="1072"/>
      <c r="BB151" s="1072"/>
      <c r="BC151" s="1072"/>
      <c r="BD151" s="1072"/>
      <c r="BE151" s="1072"/>
      <c r="BF151" s="1072"/>
      <c r="BG151" s="1072"/>
      <c r="BH151" s="1072"/>
      <c r="BI151" s="1073">
        <f t="shared" si="660"/>
        <v>0</v>
      </c>
      <c r="BJ151" s="1073">
        <f t="shared" si="661"/>
        <v>0</v>
      </c>
      <c r="BK151" s="1073">
        <f t="shared" si="662"/>
        <v>0</v>
      </c>
      <c r="BL151" s="1073">
        <f t="shared" si="663"/>
        <v>0</v>
      </c>
      <c r="BM151" s="508"/>
    </row>
    <row r="152" spans="1:65" ht="27" thickTop="1" thickBot="1">
      <c r="A152" s="509"/>
      <c r="B152" s="509"/>
      <c r="C152" s="511"/>
      <c r="D152" s="511"/>
      <c r="E152" s="510"/>
      <c r="F152" s="510"/>
      <c r="G152" s="509"/>
      <c r="H152" s="1071" t="str">
        <f>+'Anexo 1 Matriz Inf Gestión-GD'!A156</f>
        <v xml:space="preserve">3208.03.02 Implementación de Cátedra social de cambio climático y riesgo ambiental para la productividad con eco-educación (vía one-line pág. web de Corpocesar) </v>
      </c>
      <c r="I152" s="1072"/>
      <c r="J152" s="1072"/>
      <c r="K152" s="1072"/>
      <c r="L152" s="1072"/>
      <c r="M152" s="1072"/>
      <c r="N152" s="1072"/>
      <c r="O152" s="1072"/>
      <c r="P152" s="1072"/>
      <c r="Q152" s="1072"/>
      <c r="R152" s="1072"/>
      <c r="S152" s="1072"/>
      <c r="T152" s="1072"/>
      <c r="U152" s="1072"/>
      <c r="V152" s="1072"/>
      <c r="W152" s="1072"/>
      <c r="X152" s="1072"/>
      <c r="Y152" s="1072"/>
      <c r="Z152" s="1072"/>
      <c r="AA152" s="1072"/>
      <c r="AB152" s="1072"/>
      <c r="AC152" s="1072"/>
      <c r="AD152" s="1072"/>
      <c r="AE152" s="1072"/>
      <c r="AF152" s="1072"/>
      <c r="AG152" s="1072"/>
      <c r="AH152" s="1072"/>
      <c r="AI152" s="1072"/>
      <c r="AJ152" s="1072"/>
      <c r="AK152" s="1072"/>
      <c r="AL152" s="1072"/>
      <c r="AM152" s="1072"/>
      <c r="AN152" s="1072"/>
      <c r="AO152" s="1072"/>
      <c r="AP152" s="1072"/>
      <c r="AQ152" s="1072"/>
      <c r="AR152" s="1072"/>
      <c r="AS152" s="1072"/>
      <c r="AT152" s="1072"/>
      <c r="AU152" s="1072"/>
      <c r="AV152" s="1072"/>
      <c r="AW152" s="1072"/>
      <c r="AX152" s="1072"/>
      <c r="AY152" s="1072"/>
      <c r="AZ152" s="1072"/>
      <c r="BA152" s="1072"/>
      <c r="BB152" s="1072"/>
      <c r="BC152" s="1072"/>
      <c r="BD152" s="1072"/>
      <c r="BE152" s="1072"/>
      <c r="BF152" s="1072"/>
      <c r="BG152" s="1072"/>
      <c r="BH152" s="1072"/>
      <c r="BI152" s="1073">
        <f t="shared" si="660"/>
        <v>0</v>
      </c>
      <c r="BJ152" s="1073">
        <f t="shared" si="661"/>
        <v>0</v>
      </c>
      <c r="BK152" s="1073">
        <f t="shared" si="662"/>
        <v>0</v>
      </c>
      <c r="BL152" s="1073">
        <f t="shared" si="663"/>
        <v>0</v>
      </c>
      <c r="BM152" s="508"/>
    </row>
    <row r="153" spans="1:65" ht="27" thickTop="1" thickBot="1">
      <c r="A153" s="509"/>
      <c r="B153" s="509"/>
      <c r="C153" s="511"/>
      <c r="D153" s="511"/>
      <c r="E153" s="510"/>
      <c r="F153" s="510"/>
      <c r="G153" s="509"/>
      <c r="H153" s="1071" t="str">
        <f>+'Anexo 1 Matriz Inf Gestión-GD'!A157</f>
        <v>3208.03.03 Implementación de estrategia para disminución de conflictos por uso de la Ciénaga de Zapatosa</v>
      </c>
      <c r="I153" s="1072"/>
      <c r="J153" s="1072"/>
      <c r="K153" s="1072"/>
      <c r="L153" s="1072"/>
      <c r="M153" s="1072"/>
      <c r="N153" s="1072"/>
      <c r="O153" s="1072"/>
      <c r="P153" s="1072"/>
      <c r="Q153" s="1072"/>
      <c r="R153" s="1072"/>
      <c r="S153" s="1072"/>
      <c r="T153" s="1072"/>
      <c r="U153" s="1072"/>
      <c r="V153" s="1072"/>
      <c r="W153" s="1072"/>
      <c r="X153" s="1072"/>
      <c r="Y153" s="1072"/>
      <c r="Z153" s="1072"/>
      <c r="AA153" s="1072"/>
      <c r="AB153" s="1072"/>
      <c r="AC153" s="1072"/>
      <c r="AD153" s="1072"/>
      <c r="AE153" s="1072"/>
      <c r="AF153" s="1072"/>
      <c r="AG153" s="1072"/>
      <c r="AH153" s="1072"/>
      <c r="AI153" s="1072"/>
      <c r="AJ153" s="1072"/>
      <c r="AK153" s="1072"/>
      <c r="AL153" s="1072"/>
      <c r="AM153" s="1072"/>
      <c r="AN153" s="1072"/>
      <c r="AO153" s="1072"/>
      <c r="AP153" s="1072"/>
      <c r="AQ153" s="1072"/>
      <c r="AR153" s="1072"/>
      <c r="AS153" s="1072"/>
      <c r="AT153" s="1072"/>
      <c r="AU153" s="1072"/>
      <c r="AV153" s="1072"/>
      <c r="AW153" s="1072"/>
      <c r="AX153" s="1072"/>
      <c r="AY153" s="1072"/>
      <c r="AZ153" s="1072"/>
      <c r="BA153" s="1072"/>
      <c r="BB153" s="1072"/>
      <c r="BC153" s="1072"/>
      <c r="BD153" s="1072"/>
      <c r="BE153" s="1072"/>
      <c r="BF153" s="1072"/>
      <c r="BG153" s="1072"/>
      <c r="BH153" s="1072"/>
      <c r="BI153" s="1073">
        <f t="shared" si="660"/>
        <v>0</v>
      </c>
      <c r="BJ153" s="1073">
        <f t="shared" si="661"/>
        <v>0</v>
      </c>
      <c r="BK153" s="1073">
        <f t="shared" si="662"/>
        <v>0</v>
      </c>
      <c r="BL153" s="1073">
        <f t="shared" si="663"/>
        <v>0</v>
      </c>
      <c r="BM153" s="508"/>
    </row>
    <row r="154" spans="1:65" ht="28.5" thickTop="1" thickBot="1">
      <c r="A154" s="1054"/>
      <c r="B154" s="1055"/>
      <c r="C154" s="1055"/>
      <c r="D154" s="1055"/>
      <c r="E154" s="1054"/>
      <c r="F154" s="1054"/>
      <c r="G154" s="1054"/>
      <c r="H154" s="1056" t="str">
        <f>+'Anexo 1 Matriz Inf Gestión-GD'!A158</f>
        <v>LÍNEA ESTRATÉGICA 1. GESTIÓN PARA EL FORTALECIMIENTO INSTITUCIONAL INTEGRAL.</v>
      </c>
      <c r="I154" s="1057">
        <f>+I155+I206</f>
        <v>0</v>
      </c>
      <c r="J154" s="1057">
        <f t="shared" ref="J154:AL154" si="779">+J155+J206</f>
        <v>0</v>
      </c>
      <c r="K154" s="1057">
        <f t="shared" si="779"/>
        <v>0</v>
      </c>
      <c r="L154" s="1057">
        <f t="shared" si="779"/>
        <v>0</v>
      </c>
      <c r="M154" s="1057">
        <f t="shared" si="779"/>
        <v>0</v>
      </c>
      <c r="N154" s="1057">
        <f t="shared" si="779"/>
        <v>0</v>
      </c>
      <c r="O154" s="1057">
        <f t="shared" si="779"/>
        <v>0</v>
      </c>
      <c r="P154" s="1057">
        <f t="shared" si="779"/>
        <v>0</v>
      </c>
      <c r="Q154" s="1057">
        <f t="shared" si="779"/>
        <v>0</v>
      </c>
      <c r="R154" s="1057">
        <f t="shared" si="779"/>
        <v>0</v>
      </c>
      <c r="S154" s="1057">
        <f t="shared" si="779"/>
        <v>0</v>
      </c>
      <c r="T154" s="1057">
        <f t="shared" si="779"/>
        <v>0</v>
      </c>
      <c r="U154" s="1057">
        <f t="shared" si="779"/>
        <v>0</v>
      </c>
      <c r="V154" s="1057">
        <f t="shared" si="779"/>
        <v>0</v>
      </c>
      <c r="W154" s="1057">
        <f t="shared" si="779"/>
        <v>0</v>
      </c>
      <c r="X154" s="1057">
        <f t="shared" si="779"/>
        <v>0</v>
      </c>
      <c r="Y154" s="1057">
        <f t="shared" si="779"/>
        <v>0</v>
      </c>
      <c r="Z154" s="1057">
        <f t="shared" si="779"/>
        <v>0</v>
      </c>
      <c r="AA154" s="1057">
        <f t="shared" si="779"/>
        <v>0</v>
      </c>
      <c r="AB154" s="1057">
        <f t="shared" si="779"/>
        <v>0</v>
      </c>
      <c r="AC154" s="1057">
        <f t="shared" si="779"/>
        <v>0</v>
      </c>
      <c r="AD154" s="1057">
        <f t="shared" si="779"/>
        <v>0</v>
      </c>
      <c r="AE154" s="1057">
        <f t="shared" si="779"/>
        <v>0</v>
      </c>
      <c r="AF154" s="1057">
        <f t="shared" si="779"/>
        <v>0</v>
      </c>
      <c r="AG154" s="1057">
        <f t="shared" si="779"/>
        <v>0</v>
      </c>
      <c r="AH154" s="1057">
        <f t="shared" si="779"/>
        <v>0</v>
      </c>
      <c r="AI154" s="1057">
        <f t="shared" si="779"/>
        <v>0</v>
      </c>
      <c r="AJ154" s="1057">
        <f t="shared" si="779"/>
        <v>0</v>
      </c>
      <c r="AK154" s="1057">
        <f t="shared" si="779"/>
        <v>0</v>
      </c>
      <c r="AL154" s="1057">
        <f t="shared" si="779"/>
        <v>0</v>
      </c>
      <c r="AM154" s="1057">
        <f t="shared" ref="AM154" si="780">+AM155+AM206</f>
        <v>0</v>
      </c>
      <c r="AN154" s="1057">
        <f t="shared" ref="AN154" si="781">+AN155+AN206</f>
        <v>0</v>
      </c>
      <c r="AO154" s="1057">
        <f t="shared" ref="AO154" si="782">+AO155+AO206</f>
        <v>0</v>
      </c>
      <c r="AP154" s="1057">
        <f t="shared" ref="AP154" si="783">+AP155+AP206</f>
        <v>0</v>
      </c>
      <c r="AQ154" s="1057">
        <f t="shared" ref="AQ154" si="784">+AQ155+AQ206</f>
        <v>0</v>
      </c>
      <c r="AR154" s="1057">
        <f t="shared" ref="AR154" si="785">+AR155+AR206</f>
        <v>0</v>
      </c>
      <c r="AS154" s="1057">
        <f t="shared" ref="AS154" si="786">+AS155+AS206</f>
        <v>0</v>
      </c>
      <c r="AT154" s="1057">
        <f t="shared" ref="AT154" si="787">+AT155+AT206</f>
        <v>0</v>
      </c>
      <c r="AU154" s="1057">
        <f t="shared" ref="AU154" si="788">+AU155+AU206</f>
        <v>0</v>
      </c>
      <c r="AV154" s="1057">
        <f t="shared" ref="AV154" si="789">+AV155+AV206</f>
        <v>0</v>
      </c>
      <c r="AW154" s="1057">
        <f t="shared" ref="AW154" si="790">+AW155+AW206</f>
        <v>0</v>
      </c>
      <c r="AX154" s="1057">
        <f t="shared" ref="AX154" si="791">+AX155+AX206</f>
        <v>0</v>
      </c>
      <c r="AY154" s="1057">
        <f t="shared" ref="AY154" si="792">+AY155+AY206</f>
        <v>0</v>
      </c>
      <c r="AZ154" s="1057">
        <f t="shared" ref="AZ154" si="793">+AZ155+AZ206</f>
        <v>0</v>
      </c>
      <c r="BA154" s="1057">
        <f t="shared" ref="BA154" si="794">+BA155+BA206</f>
        <v>0</v>
      </c>
      <c r="BB154" s="1057">
        <f t="shared" ref="BB154" si="795">+BB155+BB206</f>
        <v>0</v>
      </c>
      <c r="BC154" s="1057">
        <f t="shared" ref="BC154" si="796">+BC155+BC206</f>
        <v>0</v>
      </c>
      <c r="BD154" s="1057">
        <f t="shared" ref="BD154" si="797">+BD155+BD206</f>
        <v>0</v>
      </c>
      <c r="BE154" s="1057">
        <f t="shared" ref="BE154" si="798">+BE155+BE206</f>
        <v>0</v>
      </c>
      <c r="BF154" s="1057">
        <f t="shared" ref="BF154" si="799">+BF155+BF206</f>
        <v>0</v>
      </c>
      <c r="BG154" s="1057">
        <f t="shared" ref="BG154" si="800">+BG155+BG206</f>
        <v>0</v>
      </c>
      <c r="BH154" s="1057">
        <f t="shared" ref="BH154" si="801">+BH155+BH206</f>
        <v>0</v>
      </c>
      <c r="BI154" s="1058">
        <f t="shared" si="660"/>
        <v>0</v>
      </c>
      <c r="BJ154" s="1058">
        <f t="shared" si="661"/>
        <v>0</v>
      </c>
      <c r="BK154" s="1058">
        <f t="shared" si="662"/>
        <v>0</v>
      </c>
      <c r="BL154" s="1058">
        <f t="shared" si="663"/>
        <v>0</v>
      </c>
      <c r="BM154" s="1059"/>
    </row>
    <row r="155" spans="1:65" ht="28.5" thickTop="1" thickBot="1">
      <c r="A155" s="1060"/>
      <c r="B155" s="1061"/>
      <c r="C155" s="1061"/>
      <c r="D155" s="1061"/>
      <c r="E155" s="1060"/>
      <c r="F155" s="1060"/>
      <c r="G155" s="1060"/>
      <c r="H155" s="1062" t="str">
        <f>+'Anexo 1 Matriz Inf Gestión-GD'!A159</f>
        <v>PROGRAMA 3299. FORTALECIMIENTO DE LA GESTIÓN Y DIRECCIÓN DEL SECTOR AMBIENTE Y DESARROLLO SOSTENIBLE</v>
      </c>
      <c r="I155" s="1063">
        <f>+I156+I170+I181+I189+I197+I201</f>
        <v>0</v>
      </c>
      <c r="J155" s="1063">
        <f t="shared" ref="J155:AL155" si="802">+J156+J170+J181+J189+J197+J201</f>
        <v>0</v>
      </c>
      <c r="K155" s="1063">
        <f t="shared" si="802"/>
        <v>0</v>
      </c>
      <c r="L155" s="1063">
        <f t="shared" si="802"/>
        <v>0</v>
      </c>
      <c r="M155" s="1063">
        <f t="shared" si="802"/>
        <v>0</v>
      </c>
      <c r="N155" s="1063">
        <f t="shared" si="802"/>
        <v>0</v>
      </c>
      <c r="O155" s="1063">
        <f t="shared" si="802"/>
        <v>0</v>
      </c>
      <c r="P155" s="1063">
        <f t="shared" si="802"/>
        <v>0</v>
      </c>
      <c r="Q155" s="1063">
        <f t="shared" si="802"/>
        <v>0</v>
      </c>
      <c r="R155" s="1063">
        <f t="shared" si="802"/>
        <v>0</v>
      </c>
      <c r="S155" s="1063">
        <f t="shared" si="802"/>
        <v>0</v>
      </c>
      <c r="T155" s="1063">
        <f t="shared" si="802"/>
        <v>0</v>
      </c>
      <c r="U155" s="1063">
        <f t="shared" si="802"/>
        <v>0</v>
      </c>
      <c r="V155" s="1063">
        <f t="shared" si="802"/>
        <v>0</v>
      </c>
      <c r="W155" s="1063">
        <f t="shared" si="802"/>
        <v>0</v>
      </c>
      <c r="X155" s="1063">
        <f t="shared" si="802"/>
        <v>0</v>
      </c>
      <c r="Y155" s="1063">
        <f t="shared" si="802"/>
        <v>0</v>
      </c>
      <c r="Z155" s="1063">
        <f t="shared" si="802"/>
        <v>0</v>
      </c>
      <c r="AA155" s="1063">
        <f t="shared" si="802"/>
        <v>0</v>
      </c>
      <c r="AB155" s="1063">
        <f t="shared" si="802"/>
        <v>0</v>
      </c>
      <c r="AC155" s="1063">
        <f t="shared" si="802"/>
        <v>0</v>
      </c>
      <c r="AD155" s="1063">
        <f t="shared" si="802"/>
        <v>0</v>
      </c>
      <c r="AE155" s="1063">
        <f t="shared" si="802"/>
        <v>0</v>
      </c>
      <c r="AF155" s="1063">
        <f t="shared" si="802"/>
        <v>0</v>
      </c>
      <c r="AG155" s="1063">
        <f t="shared" si="802"/>
        <v>0</v>
      </c>
      <c r="AH155" s="1063">
        <f t="shared" si="802"/>
        <v>0</v>
      </c>
      <c r="AI155" s="1063">
        <f t="shared" si="802"/>
        <v>0</v>
      </c>
      <c r="AJ155" s="1063">
        <f t="shared" si="802"/>
        <v>0</v>
      </c>
      <c r="AK155" s="1063">
        <f t="shared" si="802"/>
        <v>0</v>
      </c>
      <c r="AL155" s="1063">
        <f t="shared" si="802"/>
        <v>0</v>
      </c>
      <c r="AM155" s="1063">
        <f t="shared" ref="AM155" si="803">+AM156+AM170+AM181+AM189+AM197+AM201</f>
        <v>0</v>
      </c>
      <c r="AN155" s="1063">
        <f t="shared" ref="AN155" si="804">+AN156+AN170+AN181+AN189+AN197+AN201</f>
        <v>0</v>
      </c>
      <c r="AO155" s="1063">
        <f t="shared" ref="AO155" si="805">+AO156+AO170+AO181+AO189+AO197+AO201</f>
        <v>0</v>
      </c>
      <c r="AP155" s="1063">
        <f t="shared" ref="AP155" si="806">+AP156+AP170+AP181+AP189+AP197+AP201</f>
        <v>0</v>
      </c>
      <c r="AQ155" s="1063">
        <f t="shared" ref="AQ155" si="807">+AQ156+AQ170+AQ181+AQ189+AQ197+AQ201</f>
        <v>0</v>
      </c>
      <c r="AR155" s="1063">
        <f t="shared" ref="AR155" si="808">+AR156+AR170+AR181+AR189+AR197+AR201</f>
        <v>0</v>
      </c>
      <c r="AS155" s="1063">
        <f t="shared" ref="AS155" si="809">+AS156+AS170+AS181+AS189+AS197+AS201</f>
        <v>0</v>
      </c>
      <c r="AT155" s="1063">
        <f t="shared" ref="AT155" si="810">+AT156+AT170+AT181+AT189+AT197+AT201</f>
        <v>0</v>
      </c>
      <c r="AU155" s="1063">
        <f t="shared" ref="AU155" si="811">+AU156+AU170+AU181+AU189+AU197+AU201</f>
        <v>0</v>
      </c>
      <c r="AV155" s="1063">
        <f t="shared" ref="AV155" si="812">+AV156+AV170+AV181+AV189+AV197+AV201</f>
        <v>0</v>
      </c>
      <c r="AW155" s="1063">
        <f t="shared" ref="AW155" si="813">+AW156+AW170+AW181+AW189+AW197+AW201</f>
        <v>0</v>
      </c>
      <c r="AX155" s="1063">
        <f t="shared" ref="AX155" si="814">+AX156+AX170+AX181+AX189+AX197+AX201</f>
        <v>0</v>
      </c>
      <c r="AY155" s="1063">
        <f t="shared" ref="AY155" si="815">+AY156+AY170+AY181+AY189+AY197+AY201</f>
        <v>0</v>
      </c>
      <c r="AZ155" s="1063">
        <f t="shared" ref="AZ155" si="816">+AZ156+AZ170+AZ181+AZ189+AZ197+AZ201</f>
        <v>0</v>
      </c>
      <c r="BA155" s="1063">
        <f t="shared" ref="BA155" si="817">+BA156+BA170+BA181+BA189+BA197+BA201</f>
        <v>0</v>
      </c>
      <c r="BB155" s="1063">
        <f t="shared" ref="BB155" si="818">+BB156+BB170+BB181+BB189+BB197+BB201</f>
        <v>0</v>
      </c>
      <c r="BC155" s="1063">
        <f t="shared" ref="BC155" si="819">+BC156+BC170+BC181+BC189+BC197+BC201</f>
        <v>0</v>
      </c>
      <c r="BD155" s="1063">
        <f t="shared" ref="BD155" si="820">+BD156+BD170+BD181+BD189+BD197+BD201</f>
        <v>0</v>
      </c>
      <c r="BE155" s="1063">
        <f t="shared" ref="BE155" si="821">+BE156+BE170+BE181+BE189+BE197+BE201</f>
        <v>0</v>
      </c>
      <c r="BF155" s="1063">
        <f t="shared" ref="BF155" si="822">+BF156+BF170+BF181+BF189+BF197+BF201</f>
        <v>0</v>
      </c>
      <c r="BG155" s="1063">
        <f t="shared" ref="BG155" si="823">+BG156+BG170+BG181+BG189+BG197+BG201</f>
        <v>0</v>
      </c>
      <c r="BH155" s="1063">
        <f t="shared" ref="BH155" si="824">+BH156+BH170+BH181+BH189+BH197+BH201</f>
        <v>0</v>
      </c>
      <c r="BI155" s="1064">
        <f t="shared" si="660"/>
        <v>0</v>
      </c>
      <c r="BJ155" s="1064">
        <f t="shared" si="661"/>
        <v>0</v>
      </c>
      <c r="BK155" s="1064">
        <f t="shared" si="662"/>
        <v>0</v>
      </c>
      <c r="BL155" s="1064">
        <f t="shared" si="663"/>
        <v>0</v>
      </c>
      <c r="BM155" s="1065"/>
    </row>
    <row r="156" spans="1:65" ht="39.75" thickTop="1" thickBot="1">
      <c r="A156" s="1066"/>
      <c r="B156" s="1066"/>
      <c r="C156" s="1066"/>
      <c r="D156" s="1066"/>
      <c r="E156" s="1077"/>
      <c r="F156" s="1077"/>
      <c r="G156" s="1078"/>
      <c r="H156" s="1067" t="str">
        <f>+'Anexo 1 Matriz Inf Gestión-GD'!A160</f>
        <v>Proyecto 3299.01  Fortalecimiento  e implementación de medidas  Técnicas, económicas  y financieras  para la sostenibilidad  administrativa y financiera  de Corpocesar</v>
      </c>
      <c r="I156" s="1068">
        <f>SUM(I157:I169)</f>
        <v>0</v>
      </c>
      <c r="J156" s="1068">
        <f t="shared" ref="J156:AL156" si="825">SUM(J157:J169)</f>
        <v>0</v>
      </c>
      <c r="K156" s="1068">
        <f t="shared" si="825"/>
        <v>0</v>
      </c>
      <c r="L156" s="1068">
        <f t="shared" si="825"/>
        <v>0</v>
      </c>
      <c r="M156" s="1068">
        <f t="shared" si="825"/>
        <v>0</v>
      </c>
      <c r="N156" s="1068">
        <f t="shared" si="825"/>
        <v>0</v>
      </c>
      <c r="O156" s="1068">
        <f t="shared" si="825"/>
        <v>0</v>
      </c>
      <c r="P156" s="1068">
        <f t="shared" si="825"/>
        <v>0</v>
      </c>
      <c r="Q156" s="1068">
        <f t="shared" si="825"/>
        <v>0</v>
      </c>
      <c r="R156" s="1068">
        <f t="shared" si="825"/>
        <v>0</v>
      </c>
      <c r="S156" s="1068">
        <f t="shared" si="825"/>
        <v>0</v>
      </c>
      <c r="T156" s="1068">
        <f t="shared" si="825"/>
        <v>0</v>
      </c>
      <c r="U156" s="1068">
        <f t="shared" si="825"/>
        <v>0</v>
      </c>
      <c r="V156" s="1068">
        <f t="shared" si="825"/>
        <v>0</v>
      </c>
      <c r="W156" s="1068">
        <f t="shared" si="825"/>
        <v>0</v>
      </c>
      <c r="X156" s="1068">
        <f t="shared" si="825"/>
        <v>0</v>
      </c>
      <c r="Y156" s="1068">
        <f t="shared" si="825"/>
        <v>0</v>
      </c>
      <c r="Z156" s="1068">
        <f t="shared" si="825"/>
        <v>0</v>
      </c>
      <c r="AA156" s="1068">
        <f t="shared" si="825"/>
        <v>0</v>
      </c>
      <c r="AB156" s="1068">
        <f t="shared" si="825"/>
        <v>0</v>
      </c>
      <c r="AC156" s="1068">
        <f t="shared" si="825"/>
        <v>0</v>
      </c>
      <c r="AD156" s="1068">
        <f t="shared" si="825"/>
        <v>0</v>
      </c>
      <c r="AE156" s="1068">
        <f t="shared" si="825"/>
        <v>0</v>
      </c>
      <c r="AF156" s="1068">
        <f t="shared" si="825"/>
        <v>0</v>
      </c>
      <c r="AG156" s="1068">
        <f t="shared" si="825"/>
        <v>0</v>
      </c>
      <c r="AH156" s="1068">
        <f t="shared" si="825"/>
        <v>0</v>
      </c>
      <c r="AI156" s="1068">
        <f t="shared" si="825"/>
        <v>0</v>
      </c>
      <c r="AJ156" s="1068">
        <f t="shared" si="825"/>
        <v>0</v>
      </c>
      <c r="AK156" s="1068">
        <f t="shared" si="825"/>
        <v>0</v>
      </c>
      <c r="AL156" s="1068">
        <f t="shared" si="825"/>
        <v>0</v>
      </c>
      <c r="AM156" s="1068">
        <f t="shared" ref="AM156" si="826">SUM(AM157:AM169)</f>
        <v>0</v>
      </c>
      <c r="AN156" s="1068">
        <f t="shared" ref="AN156" si="827">SUM(AN157:AN169)</f>
        <v>0</v>
      </c>
      <c r="AO156" s="1068">
        <f t="shared" ref="AO156" si="828">SUM(AO157:AO169)</f>
        <v>0</v>
      </c>
      <c r="AP156" s="1068">
        <f t="shared" ref="AP156" si="829">SUM(AP157:AP169)</f>
        <v>0</v>
      </c>
      <c r="AQ156" s="1068">
        <f t="shared" ref="AQ156" si="830">SUM(AQ157:AQ169)</f>
        <v>0</v>
      </c>
      <c r="AR156" s="1068">
        <f t="shared" ref="AR156" si="831">SUM(AR157:AR169)</f>
        <v>0</v>
      </c>
      <c r="AS156" s="1068">
        <f t="shared" ref="AS156" si="832">SUM(AS157:AS169)</f>
        <v>0</v>
      </c>
      <c r="AT156" s="1068">
        <f t="shared" ref="AT156" si="833">SUM(AT157:AT169)</f>
        <v>0</v>
      </c>
      <c r="AU156" s="1068">
        <f t="shared" ref="AU156" si="834">SUM(AU157:AU169)</f>
        <v>0</v>
      </c>
      <c r="AV156" s="1068">
        <f t="shared" ref="AV156" si="835">SUM(AV157:AV169)</f>
        <v>0</v>
      </c>
      <c r="AW156" s="1068">
        <f t="shared" ref="AW156" si="836">SUM(AW157:AW169)</f>
        <v>0</v>
      </c>
      <c r="AX156" s="1068">
        <f t="shared" ref="AX156" si="837">SUM(AX157:AX169)</f>
        <v>0</v>
      </c>
      <c r="AY156" s="1068">
        <f t="shared" ref="AY156" si="838">SUM(AY157:AY169)</f>
        <v>0</v>
      </c>
      <c r="AZ156" s="1068">
        <f t="shared" ref="AZ156" si="839">SUM(AZ157:AZ169)</f>
        <v>0</v>
      </c>
      <c r="BA156" s="1068">
        <f t="shared" ref="BA156" si="840">SUM(BA157:BA169)</f>
        <v>0</v>
      </c>
      <c r="BB156" s="1068">
        <f t="shared" ref="BB156" si="841">SUM(BB157:BB169)</f>
        <v>0</v>
      </c>
      <c r="BC156" s="1068">
        <f t="shared" ref="BC156" si="842">SUM(BC157:BC169)</f>
        <v>0</v>
      </c>
      <c r="BD156" s="1068">
        <f t="shared" ref="BD156" si="843">SUM(BD157:BD169)</f>
        <v>0</v>
      </c>
      <c r="BE156" s="1068">
        <f t="shared" ref="BE156" si="844">SUM(BE157:BE169)</f>
        <v>0</v>
      </c>
      <c r="BF156" s="1068">
        <f t="shared" ref="BF156" si="845">SUM(BF157:BF169)</f>
        <v>0</v>
      </c>
      <c r="BG156" s="1068">
        <f t="shared" ref="BG156" si="846">SUM(BG157:BG169)</f>
        <v>0</v>
      </c>
      <c r="BH156" s="1068">
        <f t="shared" ref="BH156" si="847">SUM(BH157:BH169)</f>
        <v>0</v>
      </c>
      <c r="BI156" s="1069">
        <f t="shared" si="660"/>
        <v>0</v>
      </c>
      <c r="BJ156" s="1069">
        <f t="shared" si="661"/>
        <v>0</v>
      </c>
      <c r="BK156" s="1069">
        <f t="shared" si="662"/>
        <v>0</v>
      </c>
      <c r="BL156" s="1069">
        <f t="shared" si="663"/>
        <v>0</v>
      </c>
      <c r="BM156" s="1070"/>
    </row>
    <row r="157" spans="1:65" ht="52.5" thickTop="1" thickBot="1">
      <c r="A157" s="509"/>
      <c r="B157" s="509"/>
      <c r="C157" s="511"/>
      <c r="D157" s="511"/>
      <c r="E157" s="510"/>
      <c r="F157" s="510"/>
      <c r="G157" s="509"/>
      <c r="H157" s="1071" t="str">
        <f>+'Anexo 1 Matriz Inf Gestión-GD'!A161</f>
        <v xml:space="preserve">3299.01.01 Implementación de estrategias eficaces en el Recaudo de las rentas propias de la entidad (gestión de cobro persuasivo, coactivo y de saneamiento contable, Adecuada implementación de la reglamentación existente en materia de tasas ambientales; otros) </v>
      </c>
      <c r="I157" s="1072"/>
      <c r="J157" s="1072"/>
      <c r="K157" s="1072"/>
      <c r="L157" s="1072"/>
      <c r="M157" s="1072"/>
      <c r="N157" s="1072"/>
      <c r="O157" s="1072"/>
      <c r="P157" s="1072"/>
      <c r="Q157" s="1072"/>
      <c r="R157" s="1072"/>
      <c r="S157" s="1072"/>
      <c r="T157" s="1072"/>
      <c r="U157" s="1072"/>
      <c r="V157" s="1072"/>
      <c r="W157" s="1072"/>
      <c r="X157" s="1072"/>
      <c r="Y157" s="1072"/>
      <c r="Z157" s="1072"/>
      <c r="AA157" s="1072"/>
      <c r="AB157" s="1072"/>
      <c r="AC157" s="1072"/>
      <c r="AD157" s="1072"/>
      <c r="AE157" s="1072"/>
      <c r="AF157" s="1072"/>
      <c r="AG157" s="1072"/>
      <c r="AH157" s="1072"/>
      <c r="AI157" s="1072"/>
      <c r="AJ157" s="1072"/>
      <c r="AK157" s="1072"/>
      <c r="AL157" s="1072"/>
      <c r="AM157" s="1072"/>
      <c r="AN157" s="1072"/>
      <c r="AO157" s="1072"/>
      <c r="AP157" s="1072"/>
      <c r="AQ157" s="1072"/>
      <c r="AR157" s="1072"/>
      <c r="AS157" s="1072"/>
      <c r="AT157" s="1072"/>
      <c r="AU157" s="1072"/>
      <c r="AV157" s="1072"/>
      <c r="AW157" s="1072"/>
      <c r="AX157" s="1072"/>
      <c r="AY157" s="1072"/>
      <c r="AZ157" s="1072"/>
      <c r="BA157" s="1072"/>
      <c r="BB157" s="1072"/>
      <c r="BC157" s="1072"/>
      <c r="BD157" s="1072"/>
      <c r="BE157" s="1072"/>
      <c r="BF157" s="1072"/>
      <c r="BG157" s="1072"/>
      <c r="BH157" s="1072"/>
      <c r="BI157" s="1073">
        <f t="shared" si="660"/>
        <v>0</v>
      </c>
      <c r="BJ157" s="1073">
        <f t="shared" si="661"/>
        <v>0</v>
      </c>
      <c r="BK157" s="1073">
        <f t="shared" si="662"/>
        <v>0</v>
      </c>
      <c r="BL157" s="1073">
        <f t="shared" si="663"/>
        <v>0</v>
      </c>
      <c r="BM157" s="508"/>
    </row>
    <row r="158" spans="1:65" ht="52.5" thickTop="1" thickBot="1">
      <c r="A158" s="509"/>
      <c r="B158" s="509"/>
      <c r="C158" s="511"/>
      <c r="D158" s="511"/>
      <c r="E158" s="510"/>
      <c r="F158" s="510"/>
      <c r="G158" s="509"/>
      <c r="H158" s="1071" t="str">
        <f>+'Anexo 1 Matriz Inf Gestión-GD'!A162</f>
        <v>3299.01.02 Valoración cuantitativa de estrategias eficaces en el Recaudo de las rentas propias de la entidad (gestión de cobro persuasivo, coactivo y de saneamiento contable, Adecuada implementación de la reglamentación existente en materia de tasas ambientales; otros)</v>
      </c>
      <c r="I158" s="1072"/>
      <c r="J158" s="1072"/>
      <c r="K158" s="1072"/>
      <c r="L158" s="1072"/>
      <c r="M158" s="1072"/>
      <c r="N158" s="1072"/>
      <c r="O158" s="1072"/>
      <c r="P158" s="1072"/>
      <c r="Q158" s="1072"/>
      <c r="R158" s="1072"/>
      <c r="S158" s="1072"/>
      <c r="T158" s="1072"/>
      <c r="U158" s="1072"/>
      <c r="V158" s="1072"/>
      <c r="W158" s="1072"/>
      <c r="X158" s="1072"/>
      <c r="Y158" s="1072"/>
      <c r="Z158" s="1072"/>
      <c r="AA158" s="1072"/>
      <c r="AB158" s="1072"/>
      <c r="AC158" s="1072"/>
      <c r="AD158" s="1072"/>
      <c r="AE158" s="1072"/>
      <c r="AF158" s="1072"/>
      <c r="AG158" s="1072"/>
      <c r="AH158" s="1072"/>
      <c r="AI158" s="1072"/>
      <c r="AJ158" s="1072"/>
      <c r="AK158" s="1072"/>
      <c r="AL158" s="1072"/>
      <c r="AM158" s="1072"/>
      <c r="AN158" s="1072"/>
      <c r="AO158" s="1072"/>
      <c r="AP158" s="1072"/>
      <c r="AQ158" s="1072"/>
      <c r="AR158" s="1072"/>
      <c r="AS158" s="1072"/>
      <c r="AT158" s="1072"/>
      <c r="AU158" s="1072"/>
      <c r="AV158" s="1072"/>
      <c r="AW158" s="1072"/>
      <c r="AX158" s="1072"/>
      <c r="AY158" s="1072"/>
      <c r="AZ158" s="1072"/>
      <c r="BA158" s="1072"/>
      <c r="BB158" s="1072"/>
      <c r="BC158" s="1072"/>
      <c r="BD158" s="1072"/>
      <c r="BE158" s="1072"/>
      <c r="BF158" s="1072"/>
      <c r="BG158" s="1072"/>
      <c r="BH158" s="1072"/>
      <c r="BI158" s="1073">
        <f t="shared" si="660"/>
        <v>0</v>
      </c>
      <c r="BJ158" s="1073">
        <f t="shared" si="661"/>
        <v>0</v>
      </c>
      <c r="BK158" s="1073">
        <f t="shared" si="662"/>
        <v>0</v>
      </c>
      <c r="BL158" s="1073">
        <f t="shared" si="663"/>
        <v>0</v>
      </c>
      <c r="BM158" s="508"/>
    </row>
    <row r="159" spans="1:65" ht="39.75" thickTop="1" thickBot="1">
      <c r="A159" s="509"/>
      <c r="B159" s="509"/>
      <c r="C159" s="511"/>
      <c r="D159" s="511"/>
      <c r="E159" s="510"/>
      <c r="F159" s="510"/>
      <c r="G159" s="509"/>
      <c r="H159" s="1071" t="str">
        <f>+'Anexo 1 Matriz Inf Gestión-GD'!A163</f>
        <v>3299.01.03 Gestión y actualización efectiva de la base de datos de usuarios de la TUA enfocada a la reglamentación y/o ordenación de corrientes, teniendo en cuenta la variabilidad climática (asocio con el programa 2)</v>
      </c>
      <c r="I159" s="1072"/>
      <c r="J159" s="1072"/>
      <c r="K159" s="1072"/>
      <c r="L159" s="1072"/>
      <c r="M159" s="1072"/>
      <c r="N159" s="1072"/>
      <c r="O159" s="1072"/>
      <c r="P159" s="1072"/>
      <c r="Q159" s="1072"/>
      <c r="R159" s="1072"/>
      <c r="S159" s="1072"/>
      <c r="T159" s="1072"/>
      <c r="U159" s="1072"/>
      <c r="V159" s="1072"/>
      <c r="W159" s="1072"/>
      <c r="X159" s="1072"/>
      <c r="Y159" s="1072"/>
      <c r="Z159" s="1072"/>
      <c r="AA159" s="1072"/>
      <c r="AB159" s="1072"/>
      <c r="AC159" s="1072"/>
      <c r="AD159" s="1072"/>
      <c r="AE159" s="1072"/>
      <c r="AF159" s="1072"/>
      <c r="AG159" s="1072"/>
      <c r="AH159" s="1072"/>
      <c r="AI159" s="1072"/>
      <c r="AJ159" s="1072"/>
      <c r="AK159" s="1072"/>
      <c r="AL159" s="1072"/>
      <c r="AM159" s="1072"/>
      <c r="AN159" s="1072"/>
      <c r="AO159" s="1072"/>
      <c r="AP159" s="1072"/>
      <c r="AQ159" s="1072"/>
      <c r="AR159" s="1072"/>
      <c r="AS159" s="1072"/>
      <c r="AT159" s="1072"/>
      <c r="AU159" s="1072"/>
      <c r="AV159" s="1072"/>
      <c r="AW159" s="1072"/>
      <c r="AX159" s="1072"/>
      <c r="AY159" s="1072"/>
      <c r="AZ159" s="1072"/>
      <c r="BA159" s="1072"/>
      <c r="BB159" s="1072"/>
      <c r="BC159" s="1072"/>
      <c r="BD159" s="1072"/>
      <c r="BE159" s="1072"/>
      <c r="BF159" s="1072"/>
      <c r="BG159" s="1072"/>
      <c r="BH159" s="1072"/>
      <c r="BI159" s="1073">
        <f t="shared" si="660"/>
        <v>0</v>
      </c>
      <c r="BJ159" s="1073">
        <f t="shared" si="661"/>
        <v>0</v>
      </c>
      <c r="BK159" s="1073">
        <f t="shared" si="662"/>
        <v>0</v>
      </c>
      <c r="BL159" s="1073">
        <f t="shared" si="663"/>
        <v>0</v>
      </c>
      <c r="BM159" s="508"/>
    </row>
    <row r="160" spans="1:65" ht="27" thickTop="1" thickBot="1">
      <c r="A160" s="509"/>
      <c r="B160" s="509"/>
      <c r="C160" s="511"/>
      <c r="D160" s="511"/>
      <c r="E160" s="510"/>
      <c r="F160" s="510"/>
      <c r="G160" s="509"/>
      <c r="H160" s="1071" t="str">
        <f>+'Anexo 1 Matriz Inf Gestión-GD'!A164</f>
        <v>3299.01.04 Control y seguimiento a la gestión de la tasa retributiva para promover la eficacia y eficiencia de la reinversión, en armonía con Actividad 2.4.3</v>
      </c>
      <c r="I160" s="1072"/>
      <c r="J160" s="1072"/>
      <c r="K160" s="1072"/>
      <c r="L160" s="1072"/>
      <c r="M160" s="1072"/>
      <c r="N160" s="1072"/>
      <c r="O160" s="1072"/>
      <c r="P160" s="1072"/>
      <c r="Q160" s="1072"/>
      <c r="R160" s="1072"/>
      <c r="S160" s="1072"/>
      <c r="T160" s="1072"/>
      <c r="U160" s="1072"/>
      <c r="V160" s="1072"/>
      <c r="W160" s="1072"/>
      <c r="X160" s="1072"/>
      <c r="Y160" s="1072"/>
      <c r="Z160" s="1072"/>
      <c r="AA160" s="1072"/>
      <c r="AB160" s="1072"/>
      <c r="AC160" s="1072"/>
      <c r="AD160" s="1072"/>
      <c r="AE160" s="1072"/>
      <c r="AF160" s="1072"/>
      <c r="AG160" s="1072"/>
      <c r="AH160" s="1072"/>
      <c r="AI160" s="1072"/>
      <c r="AJ160" s="1072"/>
      <c r="AK160" s="1072"/>
      <c r="AL160" s="1072"/>
      <c r="AM160" s="1072"/>
      <c r="AN160" s="1072"/>
      <c r="AO160" s="1072"/>
      <c r="AP160" s="1072"/>
      <c r="AQ160" s="1072"/>
      <c r="AR160" s="1072"/>
      <c r="AS160" s="1072"/>
      <c r="AT160" s="1072"/>
      <c r="AU160" s="1072"/>
      <c r="AV160" s="1072"/>
      <c r="AW160" s="1072"/>
      <c r="AX160" s="1072"/>
      <c r="AY160" s="1072"/>
      <c r="AZ160" s="1072"/>
      <c r="BA160" s="1072"/>
      <c r="BB160" s="1072"/>
      <c r="BC160" s="1072"/>
      <c r="BD160" s="1072"/>
      <c r="BE160" s="1072"/>
      <c r="BF160" s="1072"/>
      <c r="BG160" s="1072"/>
      <c r="BH160" s="1072"/>
      <c r="BI160" s="1073">
        <f t="shared" si="660"/>
        <v>0</v>
      </c>
      <c r="BJ160" s="1073">
        <f t="shared" si="661"/>
        <v>0</v>
      </c>
      <c r="BK160" s="1073">
        <f t="shared" si="662"/>
        <v>0</v>
      </c>
      <c r="BL160" s="1073">
        <f t="shared" si="663"/>
        <v>0</v>
      </c>
      <c r="BM160" s="508"/>
    </row>
    <row r="161" spans="1:65" ht="52.5" thickTop="1" thickBot="1">
      <c r="A161" s="509"/>
      <c r="B161" s="509"/>
      <c r="C161" s="511"/>
      <c r="D161" s="511"/>
      <c r="E161" s="510"/>
      <c r="F161" s="510"/>
      <c r="G161" s="509"/>
      <c r="H161" s="1071" t="str">
        <f>+'Anexo 1 Matriz Inf Gestión-GD'!A165</f>
        <v xml:space="preserve">3299.01.05 Sostenimiento técnico y adtvo en la Implementación de las NIIF, IGPR, PCT, y otros instrumentos de apoyo (cumplimiento tributario, contable, operativo, y reportes de información correspondientes en los tiempos y bajo los parámetros establecidos. etc) </v>
      </c>
      <c r="I161" s="1072"/>
      <c r="J161" s="1072"/>
      <c r="K161" s="1072"/>
      <c r="L161" s="1072"/>
      <c r="M161" s="1072"/>
      <c r="N161" s="1072"/>
      <c r="O161" s="1072"/>
      <c r="P161" s="1072"/>
      <c r="Q161" s="1072"/>
      <c r="R161" s="1072"/>
      <c r="S161" s="1072"/>
      <c r="T161" s="1072"/>
      <c r="U161" s="1072"/>
      <c r="V161" s="1072"/>
      <c r="W161" s="1072"/>
      <c r="X161" s="1072"/>
      <c r="Y161" s="1072"/>
      <c r="Z161" s="1072"/>
      <c r="AA161" s="1072"/>
      <c r="AB161" s="1072"/>
      <c r="AC161" s="1072"/>
      <c r="AD161" s="1072"/>
      <c r="AE161" s="1072"/>
      <c r="AF161" s="1072"/>
      <c r="AG161" s="1072"/>
      <c r="AH161" s="1072"/>
      <c r="AI161" s="1072"/>
      <c r="AJ161" s="1072"/>
      <c r="AK161" s="1072"/>
      <c r="AL161" s="1072"/>
      <c r="AM161" s="1072"/>
      <c r="AN161" s="1072"/>
      <c r="AO161" s="1072"/>
      <c r="AP161" s="1072"/>
      <c r="AQ161" s="1072"/>
      <c r="AR161" s="1072"/>
      <c r="AS161" s="1072"/>
      <c r="AT161" s="1072"/>
      <c r="AU161" s="1072"/>
      <c r="AV161" s="1072"/>
      <c r="AW161" s="1072"/>
      <c r="AX161" s="1072"/>
      <c r="AY161" s="1072"/>
      <c r="AZ161" s="1072"/>
      <c r="BA161" s="1072"/>
      <c r="BB161" s="1072"/>
      <c r="BC161" s="1072"/>
      <c r="BD161" s="1072"/>
      <c r="BE161" s="1072"/>
      <c r="BF161" s="1072"/>
      <c r="BG161" s="1072"/>
      <c r="BH161" s="1072"/>
      <c r="BI161" s="1073">
        <f t="shared" si="660"/>
        <v>0</v>
      </c>
      <c r="BJ161" s="1073">
        <f t="shared" si="661"/>
        <v>0</v>
      </c>
      <c r="BK161" s="1073">
        <f t="shared" si="662"/>
        <v>0</v>
      </c>
      <c r="BL161" s="1073">
        <f t="shared" si="663"/>
        <v>0</v>
      </c>
      <c r="BM161" s="508"/>
    </row>
    <row r="162" spans="1:65" ht="39.75" thickTop="1" thickBot="1">
      <c r="A162" s="509"/>
      <c r="B162" s="509"/>
      <c r="C162" s="511"/>
      <c r="D162" s="511"/>
      <c r="E162" s="510"/>
      <c r="F162" s="510"/>
      <c r="G162" s="509"/>
      <c r="H162" s="1071" t="str">
        <f>+'Anexo 1 Matriz Inf Gestión-GD'!A166</f>
        <v>3299.01.06 Ejecución de las inversiones en preservación, restauración, uso sostenible y generación de conocimiento (art. 11 de la Ley 1955 de 2019 y los artículos 24 y 25 de la Ley 1930 de 2018)</v>
      </c>
      <c r="I162" s="1072"/>
      <c r="J162" s="1072"/>
      <c r="K162" s="1072"/>
      <c r="L162" s="1072"/>
      <c r="M162" s="1072"/>
      <c r="N162" s="1072"/>
      <c r="O162" s="1072"/>
      <c r="P162" s="1072"/>
      <c r="Q162" s="1072"/>
      <c r="R162" s="1072"/>
      <c r="S162" s="1072"/>
      <c r="T162" s="1072"/>
      <c r="U162" s="1072"/>
      <c r="V162" s="1072"/>
      <c r="W162" s="1072"/>
      <c r="X162" s="1072"/>
      <c r="Y162" s="1072"/>
      <c r="Z162" s="1072"/>
      <c r="AA162" s="1072"/>
      <c r="AB162" s="1072"/>
      <c r="AC162" s="1072"/>
      <c r="AD162" s="1072"/>
      <c r="AE162" s="1072"/>
      <c r="AF162" s="1072"/>
      <c r="AG162" s="1072"/>
      <c r="AH162" s="1072"/>
      <c r="AI162" s="1072"/>
      <c r="AJ162" s="1072"/>
      <c r="AK162" s="1072"/>
      <c r="AL162" s="1072"/>
      <c r="AM162" s="1072"/>
      <c r="AN162" s="1072"/>
      <c r="AO162" s="1072"/>
      <c r="AP162" s="1072"/>
      <c r="AQ162" s="1072"/>
      <c r="AR162" s="1072"/>
      <c r="AS162" s="1072"/>
      <c r="AT162" s="1072"/>
      <c r="AU162" s="1072"/>
      <c r="AV162" s="1072"/>
      <c r="AW162" s="1072"/>
      <c r="AX162" s="1072"/>
      <c r="AY162" s="1072"/>
      <c r="AZ162" s="1072"/>
      <c r="BA162" s="1072"/>
      <c r="BB162" s="1072"/>
      <c r="BC162" s="1072"/>
      <c r="BD162" s="1072"/>
      <c r="BE162" s="1072"/>
      <c r="BF162" s="1072"/>
      <c r="BG162" s="1072"/>
      <c r="BH162" s="1072"/>
      <c r="BI162" s="1073">
        <f t="shared" si="660"/>
        <v>0</v>
      </c>
      <c r="BJ162" s="1073">
        <f t="shared" si="661"/>
        <v>0</v>
      </c>
      <c r="BK162" s="1073">
        <f t="shared" si="662"/>
        <v>0</v>
      </c>
      <c r="BL162" s="1073">
        <f t="shared" si="663"/>
        <v>0</v>
      </c>
      <c r="BM162" s="508"/>
    </row>
    <row r="163" spans="1:65" ht="39.75" thickTop="1" thickBot="1">
      <c r="A163" s="509"/>
      <c r="B163" s="509"/>
      <c r="C163" s="511"/>
      <c r="D163" s="511"/>
      <c r="E163" s="510"/>
      <c r="F163" s="510"/>
      <c r="G163" s="509"/>
      <c r="H163" s="1071" t="str">
        <f>+'Anexo 1 Matriz Inf Gestión-GD'!A167</f>
        <v>3299.01.07. Participación en los espacios de consulta pública de los proyectos de reglamentación de los instrumentos económicos, financieros y de mercado, liderados por el MADS.</v>
      </c>
      <c r="I163" s="1072"/>
      <c r="J163" s="1072"/>
      <c r="K163" s="1072"/>
      <c r="L163" s="1072"/>
      <c r="M163" s="1072"/>
      <c r="N163" s="1072"/>
      <c r="O163" s="1072"/>
      <c r="P163" s="1072"/>
      <c r="Q163" s="1072"/>
      <c r="R163" s="1072"/>
      <c r="S163" s="1072"/>
      <c r="T163" s="1072"/>
      <c r="U163" s="1072"/>
      <c r="V163" s="1072"/>
      <c r="W163" s="1072"/>
      <c r="X163" s="1072"/>
      <c r="Y163" s="1072"/>
      <c r="Z163" s="1072"/>
      <c r="AA163" s="1072"/>
      <c r="AB163" s="1072"/>
      <c r="AC163" s="1072"/>
      <c r="AD163" s="1072"/>
      <c r="AE163" s="1072"/>
      <c r="AF163" s="1072"/>
      <c r="AG163" s="1072"/>
      <c r="AH163" s="1072"/>
      <c r="AI163" s="1072"/>
      <c r="AJ163" s="1072"/>
      <c r="AK163" s="1072"/>
      <c r="AL163" s="1072"/>
      <c r="AM163" s="1072"/>
      <c r="AN163" s="1072"/>
      <c r="AO163" s="1072"/>
      <c r="AP163" s="1072"/>
      <c r="AQ163" s="1072"/>
      <c r="AR163" s="1072"/>
      <c r="AS163" s="1072"/>
      <c r="AT163" s="1072"/>
      <c r="AU163" s="1072"/>
      <c r="AV163" s="1072"/>
      <c r="AW163" s="1072"/>
      <c r="AX163" s="1072"/>
      <c r="AY163" s="1072"/>
      <c r="AZ163" s="1072"/>
      <c r="BA163" s="1072"/>
      <c r="BB163" s="1072"/>
      <c r="BC163" s="1072"/>
      <c r="BD163" s="1072"/>
      <c r="BE163" s="1072"/>
      <c r="BF163" s="1072"/>
      <c r="BG163" s="1072"/>
      <c r="BH163" s="1072"/>
      <c r="BI163" s="1073">
        <f t="shared" si="660"/>
        <v>0</v>
      </c>
      <c r="BJ163" s="1073">
        <f t="shared" si="661"/>
        <v>0</v>
      </c>
      <c r="BK163" s="1073">
        <f t="shared" si="662"/>
        <v>0</v>
      </c>
      <c r="BL163" s="1073">
        <f t="shared" si="663"/>
        <v>0</v>
      </c>
      <c r="BM163" s="508"/>
    </row>
    <row r="164" spans="1:65" ht="27" thickTop="1" thickBot="1">
      <c r="A164" s="509"/>
      <c r="B164" s="509"/>
      <c r="C164" s="511"/>
      <c r="D164" s="511"/>
      <c r="E164" s="510"/>
      <c r="F164" s="510"/>
      <c r="G164" s="509"/>
      <c r="H164" s="1071" t="str">
        <f>+'Anexo 1 Matriz Inf Gestión-GD'!A168</f>
        <v>3299.01.06 Diseño del Sistema de Gestión Ambiental SGA- NTC ISO 14001:2015 para la sede bioclimática de la entidad en Valledupar</v>
      </c>
      <c r="I164" s="1072"/>
      <c r="J164" s="1072"/>
      <c r="K164" s="1072"/>
      <c r="L164" s="1072"/>
      <c r="M164" s="1072"/>
      <c r="N164" s="1072"/>
      <c r="O164" s="1072"/>
      <c r="P164" s="1072"/>
      <c r="Q164" s="1072"/>
      <c r="R164" s="1072"/>
      <c r="S164" s="1072"/>
      <c r="T164" s="1072"/>
      <c r="U164" s="1072"/>
      <c r="V164" s="1072"/>
      <c r="W164" s="1072"/>
      <c r="X164" s="1072"/>
      <c r="Y164" s="1072"/>
      <c r="Z164" s="1072"/>
      <c r="AA164" s="1072"/>
      <c r="AB164" s="1072"/>
      <c r="AC164" s="1072"/>
      <c r="AD164" s="1072"/>
      <c r="AE164" s="1072"/>
      <c r="AF164" s="1072"/>
      <c r="AG164" s="1072"/>
      <c r="AH164" s="1072"/>
      <c r="AI164" s="1072"/>
      <c r="AJ164" s="1072"/>
      <c r="AK164" s="1072"/>
      <c r="AL164" s="1072"/>
      <c r="AM164" s="1072"/>
      <c r="AN164" s="1072"/>
      <c r="AO164" s="1072"/>
      <c r="AP164" s="1072"/>
      <c r="AQ164" s="1072"/>
      <c r="AR164" s="1072"/>
      <c r="AS164" s="1072"/>
      <c r="AT164" s="1072"/>
      <c r="AU164" s="1072"/>
      <c r="AV164" s="1072"/>
      <c r="AW164" s="1072"/>
      <c r="AX164" s="1072"/>
      <c r="AY164" s="1072"/>
      <c r="AZ164" s="1072"/>
      <c r="BA164" s="1072"/>
      <c r="BB164" s="1072"/>
      <c r="BC164" s="1072"/>
      <c r="BD164" s="1072"/>
      <c r="BE164" s="1072"/>
      <c r="BF164" s="1072"/>
      <c r="BG164" s="1072"/>
      <c r="BH164" s="1072"/>
      <c r="BI164" s="1073">
        <f t="shared" si="660"/>
        <v>0</v>
      </c>
      <c r="BJ164" s="1073">
        <f t="shared" si="661"/>
        <v>0</v>
      </c>
      <c r="BK164" s="1073">
        <f t="shared" si="662"/>
        <v>0</v>
      </c>
      <c r="BL164" s="1073">
        <f t="shared" si="663"/>
        <v>0</v>
      </c>
      <c r="BM164" s="508"/>
    </row>
    <row r="165" spans="1:65" ht="27" thickTop="1" thickBot="1">
      <c r="A165" s="509"/>
      <c r="B165" s="509"/>
      <c r="C165" s="511"/>
      <c r="D165" s="511"/>
      <c r="E165" s="510"/>
      <c r="F165" s="510"/>
      <c r="G165" s="509"/>
      <c r="H165" s="1071" t="str">
        <f>+'Anexo 1 Matriz Inf Gestión-GD'!A169</f>
        <v>3299.01.07 Implementación del Sistema de Gestión Ambiental SGA- NTC ISO 14001:2015 para la sede bioclimática de la entidad en Valledupar</v>
      </c>
      <c r="I165" s="1072"/>
      <c r="J165" s="1072"/>
      <c r="K165" s="1072"/>
      <c r="L165" s="1072"/>
      <c r="M165" s="1072"/>
      <c r="N165" s="1072"/>
      <c r="O165" s="1072"/>
      <c r="P165" s="1072"/>
      <c r="Q165" s="1072"/>
      <c r="R165" s="1072"/>
      <c r="S165" s="1072"/>
      <c r="T165" s="1072"/>
      <c r="U165" s="1072"/>
      <c r="V165" s="1072"/>
      <c r="W165" s="1072"/>
      <c r="X165" s="1072"/>
      <c r="Y165" s="1072"/>
      <c r="Z165" s="1072"/>
      <c r="AA165" s="1072"/>
      <c r="AB165" s="1072"/>
      <c r="AC165" s="1072"/>
      <c r="AD165" s="1072"/>
      <c r="AE165" s="1072"/>
      <c r="AF165" s="1072"/>
      <c r="AG165" s="1072"/>
      <c r="AH165" s="1072"/>
      <c r="AI165" s="1072"/>
      <c r="AJ165" s="1072"/>
      <c r="AK165" s="1072"/>
      <c r="AL165" s="1072"/>
      <c r="AM165" s="1072"/>
      <c r="AN165" s="1072"/>
      <c r="AO165" s="1072"/>
      <c r="AP165" s="1072"/>
      <c r="AQ165" s="1072"/>
      <c r="AR165" s="1072"/>
      <c r="AS165" s="1072"/>
      <c r="AT165" s="1072"/>
      <c r="AU165" s="1072"/>
      <c r="AV165" s="1072"/>
      <c r="AW165" s="1072"/>
      <c r="AX165" s="1072"/>
      <c r="AY165" s="1072"/>
      <c r="AZ165" s="1072"/>
      <c r="BA165" s="1072"/>
      <c r="BB165" s="1072"/>
      <c r="BC165" s="1072"/>
      <c r="BD165" s="1072"/>
      <c r="BE165" s="1072"/>
      <c r="BF165" s="1072"/>
      <c r="BG165" s="1072"/>
      <c r="BH165" s="1072"/>
      <c r="BI165" s="1073">
        <f t="shared" si="660"/>
        <v>0</v>
      </c>
      <c r="BJ165" s="1073">
        <f t="shared" si="661"/>
        <v>0</v>
      </c>
      <c r="BK165" s="1073">
        <f t="shared" si="662"/>
        <v>0</v>
      </c>
      <c r="BL165" s="1073">
        <f t="shared" si="663"/>
        <v>0</v>
      </c>
      <c r="BM165" s="508"/>
    </row>
    <row r="166" spans="1:65" ht="27" thickTop="1" thickBot="1">
      <c r="A166" s="509"/>
      <c r="B166" s="509"/>
      <c r="C166" s="511"/>
      <c r="D166" s="511"/>
      <c r="E166" s="510"/>
      <c r="F166" s="510"/>
      <c r="G166" s="509"/>
      <c r="H166" s="1071" t="str">
        <f>+'Anexo 1 Matriz Inf Gestión-GD'!A170</f>
        <v>3299.01.08 Evaluación y certificación del Sistema de Gestión Ambiental SGA- NTC ISO 14001:2015 para la sede bioclimática de la entidad en Valledupar</v>
      </c>
      <c r="I166" s="1072"/>
      <c r="J166" s="1072"/>
      <c r="K166" s="1072"/>
      <c r="L166" s="1072"/>
      <c r="M166" s="1072"/>
      <c r="N166" s="1072"/>
      <c r="O166" s="1072"/>
      <c r="P166" s="1072"/>
      <c r="Q166" s="1072"/>
      <c r="R166" s="1072"/>
      <c r="S166" s="1072"/>
      <c r="T166" s="1072"/>
      <c r="U166" s="1072"/>
      <c r="V166" s="1072"/>
      <c r="W166" s="1072"/>
      <c r="X166" s="1072"/>
      <c r="Y166" s="1072"/>
      <c r="Z166" s="1072"/>
      <c r="AA166" s="1072"/>
      <c r="AB166" s="1072"/>
      <c r="AC166" s="1072"/>
      <c r="AD166" s="1072"/>
      <c r="AE166" s="1072"/>
      <c r="AF166" s="1072"/>
      <c r="AG166" s="1072"/>
      <c r="AH166" s="1072"/>
      <c r="AI166" s="1072"/>
      <c r="AJ166" s="1072"/>
      <c r="AK166" s="1072"/>
      <c r="AL166" s="1072"/>
      <c r="AM166" s="1072"/>
      <c r="AN166" s="1072"/>
      <c r="AO166" s="1072"/>
      <c r="AP166" s="1072"/>
      <c r="AQ166" s="1072"/>
      <c r="AR166" s="1072"/>
      <c r="AS166" s="1072"/>
      <c r="AT166" s="1072"/>
      <c r="AU166" s="1072"/>
      <c r="AV166" s="1072"/>
      <c r="AW166" s="1072"/>
      <c r="AX166" s="1072"/>
      <c r="AY166" s="1072"/>
      <c r="AZ166" s="1072"/>
      <c r="BA166" s="1072"/>
      <c r="BB166" s="1072"/>
      <c r="BC166" s="1072"/>
      <c r="BD166" s="1072"/>
      <c r="BE166" s="1072"/>
      <c r="BF166" s="1072"/>
      <c r="BG166" s="1072"/>
      <c r="BH166" s="1072"/>
      <c r="BI166" s="1073">
        <f t="shared" si="660"/>
        <v>0</v>
      </c>
      <c r="BJ166" s="1073">
        <f t="shared" si="661"/>
        <v>0</v>
      </c>
      <c r="BK166" s="1073">
        <f t="shared" si="662"/>
        <v>0</v>
      </c>
      <c r="BL166" s="1073">
        <f t="shared" si="663"/>
        <v>0</v>
      </c>
      <c r="BM166" s="508"/>
    </row>
    <row r="167" spans="1:65" ht="27" thickTop="1" thickBot="1">
      <c r="A167" s="509"/>
      <c r="B167" s="509"/>
      <c r="C167" s="511"/>
      <c r="D167" s="511"/>
      <c r="E167" s="510"/>
      <c r="F167" s="510"/>
      <c r="G167" s="509"/>
      <c r="H167" s="1071" t="str">
        <f>+'Anexo 1 Matriz Inf Gestión-GD'!A171</f>
        <v>3299.01.09 Mantenimiento y mejoramiento continuo del Sistema de Gestión Ambiental SGA- NTC ISO 14001:2015 para la sede bioclimática de la entidad en Valledupar</v>
      </c>
      <c r="I167" s="1072"/>
      <c r="J167" s="1072"/>
      <c r="K167" s="1072"/>
      <c r="L167" s="1072"/>
      <c r="M167" s="1072"/>
      <c r="N167" s="1072"/>
      <c r="O167" s="1072"/>
      <c r="P167" s="1072"/>
      <c r="Q167" s="1072"/>
      <c r="R167" s="1072"/>
      <c r="S167" s="1072"/>
      <c r="T167" s="1072"/>
      <c r="U167" s="1072"/>
      <c r="V167" s="1072"/>
      <c r="W167" s="1072"/>
      <c r="X167" s="1072"/>
      <c r="Y167" s="1072"/>
      <c r="Z167" s="1072"/>
      <c r="AA167" s="1072"/>
      <c r="AB167" s="1072"/>
      <c r="AC167" s="1072"/>
      <c r="AD167" s="1072"/>
      <c r="AE167" s="1072"/>
      <c r="AF167" s="1072"/>
      <c r="AG167" s="1072"/>
      <c r="AH167" s="1072"/>
      <c r="AI167" s="1072"/>
      <c r="AJ167" s="1072"/>
      <c r="AK167" s="1072"/>
      <c r="AL167" s="1072"/>
      <c r="AM167" s="1072"/>
      <c r="AN167" s="1072"/>
      <c r="AO167" s="1072"/>
      <c r="AP167" s="1072"/>
      <c r="AQ167" s="1072"/>
      <c r="AR167" s="1072"/>
      <c r="AS167" s="1072"/>
      <c r="AT167" s="1072"/>
      <c r="AU167" s="1072"/>
      <c r="AV167" s="1072"/>
      <c r="AW167" s="1072"/>
      <c r="AX167" s="1072"/>
      <c r="AY167" s="1072"/>
      <c r="AZ167" s="1072"/>
      <c r="BA167" s="1072"/>
      <c r="BB167" s="1072"/>
      <c r="BC167" s="1072"/>
      <c r="BD167" s="1072"/>
      <c r="BE167" s="1072"/>
      <c r="BF167" s="1072"/>
      <c r="BG167" s="1072"/>
      <c r="BH167" s="1072"/>
      <c r="BI167" s="1073">
        <f t="shared" si="660"/>
        <v>0</v>
      </c>
      <c r="BJ167" s="1073">
        <f t="shared" si="661"/>
        <v>0</v>
      </c>
      <c r="BK167" s="1073">
        <f t="shared" si="662"/>
        <v>0</v>
      </c>
      <c r="BL167" s="1073">
        <f t="shared" si="663"/>
        <v>0</v>
      </c>
      <c r="BM167" s="508"/>
    </row>
    <row r="168" spans="1:65" ht="27" thickTop="1" thickBot="1">
      <c r="A168" s="509"/>
      <c r="B168" s="509"/>
      <c r="C168" s="511"/>
      <c r="D168" s="511"/>
      <c r="E168" s="510"/>
      <c r="F168" s="510"/>
      <c r="G168" s="509"/>
      <c r="H168" s="1071" t="str">
        <f>+'Anexo 1 Matriz Inf Gestión-GD'!A172</f>
        <v xml:space="preserve">3299.01.10 Gestión para la puesta en marcha y operación del laboratorio ambiental de agua </v>
      </c>
      <c r="I168" s="1072"/>
      <c r="J168" s="1072"/>
      <c r="K168" s="1072"/>
      <c r="L168" s="1072"/>
      <c r="M168" s="1072"/>
      <c r="N168" s="1072"/>
      <c r="O168" s="1072"/>
      <c r="P168" s="1072"/>
      <c r="Q168" s="1072"/>
      <c r="R168" s="1072"/>
      <c r="S168" s="1072"/>
      <c r="T168" s="1072"/>
      <c r="U168" s="1072"/>
      <c r="V168" s="1072"/>
      <c r="W168" s="1072"/>
      <c r="X168" s="1072"/>
      <c r="Y168" s="1072"/>
      <c r="Z168" s="1072"/>
      <c r="AA168" s="1072"/>
      <c r="AB168" s="1072"/>
      <c r="AC168" s="1072"/>
      <c r="AD168" s="1072"/>
      <c r="AE168" s="1072"/>
      <c r="AF168" s="1072"/>
      <c r="AG168" s="1072"/>
      <c r="AH168" s="1072"/>
      <c r="AI168" s="1072"/>
      <c r="AJ168" s="1072"/>
      <c r="AK168" s="1072"/>
      <c r="AL168" s="1072"/>
      <c r="AM168" s="1072"/>
      <c r="AN168" s="1072"/>
      <c r="AO168" s="1072"/>
      <c r="AP168" s="1072"/>
      <c r="AQ168" s="1072"/>
      <c r="AR168" s="1072"/>
      <c r="AS168" s="1072"/>
      <c r="AT168" s="1072"/>
      <c r="AU168" s="1072"/>
      <c r="AV168" s="1072"/>
      <c r="AW168" s="1072"/>
      <c r="AX168" s="1072"/>
      <c r="AY168" s="1072"/>
      <c r="AZ168" s="1072"/>
      <c r="BA168" s="1072"/>
      <c r="BB168" s="1072"/>
      <c r="BC168" s="1072"/>
      <c r="BD168" s="1072"/>
      <c r="BE168" s="1072"/>
      <c r="BF168" s="1072"/>
      <c r="BG168" s="1072"/>
      <c r="BH168" s="1072"/>
      <c r="BI168" s="1073">
        <f t="shared" si="660"/>
        <v>0</v>
      </c>
      <c r="BJ168" s="1073">
        <f t="shared" si="661"/>
        <v>0</v>
      </c>
      <c r="BK168" s="1073">
        <f t="shared" si="662"/>
        <v>0</v>
      </c>
      <c r="BL168" s="1073">
        <f t="shared" si="663"/>
        <v>0</v>
      </c>
      <c r="BM168" s="508"/>
    </row>
    <row r="169" spans="1:65" ht="39.75" thickTop="1" thickBot="1">
      <c r="A169" s="509"/>
      <c r="B169" s="509"/>
      <c r="C169" s="511"/>
      <c r="D169" s="511"/>
      <c r="E169" s="510"/>
      <c r="F169" s="510"/>
      <c r="G169" s="509"/>
      <c r="H169" s="1071" t="str">
        <f>+'Anexo 1 Matriz Inf Gestión-GD'!A173</f>
        <v>3299.01.11 Gestión para la venta de servicio de laboratorio ambiental de agua (estrategia administrativa y de sostenibilidad financiera) en armonía con la actividad o subp 2.4.4</v>
      </c>
      <c r="I169" s="1072"/>
      <c r="J169" s="1072"/>
      <c r="K169" s="1072"/>
      <c r="L169" s="1072"/>
      <c r="M169" s="1072"/>
      <c r="N169" s="1072"/>
      <c r="O169" s="1072"/>
      <c r="P169" s="1072"/>
      <c r="Q169" s="1072"/>
      <c r="R169" s="1072"/>
      <c r="S169" s="1072"/>
      <c r="T169" s="1072"/>
      <c r="U169" s="1072"/>
      <c r="V169" s="1072"/>
      <c r="W169" s="1072"/>
      <c r="X169" s="1072"/>
      <c r="Y169" s="1072"/>
      <c r="Z169" s="1072"/>
      <c r="AA169" s="1072"/>
      <c r="AB169" s="1072"/>
      <c r="AC169" s="1072"/>
      <c r="AD169" s="1072"/>
      <c r="AE169" s="1072"/>
      <c r="AF169" s="1072"/>
      <c r="AG169" s="1072"/>
      <c r="AH169" s="1072"/>
      <c r="AI169" s="1072"/>
      <c r="AJ169" s="1072"/>
      <c r="AK169" s="1072"/>
      <c r="AL169" s="1072"/>
      <c r="AM169" s="1072"/>
      <c r="AN169" s="1072"/>
      <c r="AO169" s="1072"/>
      <c r="AP169" s="1072"/>
      <c r="AQ169" s="1072"/>
      <c r="AR169" s="1072"/>
      <c r="AS169" s="1072"/>
      <c r="AT169" s="1072"/>
      <c r="AU169" s="1072"/>
      <c r="AV169" s="1072"/>
      <c r="AW169" s="1072"/>
      <c r="AX169" s="1072"/>
      <c r="AY169" s="1072"/>
      <c r="AZ169" s="1072"/>
      <c r="BA169" s="1072"/>
      <c r="BB169" s="1072"/>
      <c r="BC169" s="1072"/>
      <c r="BD169" s="1072"/>
      <c r="BE169" s="1072"/>
      <c r="BF169" s="1072"/>
      <c r="BG169" s="1072"/>
      <c r="BH169" s="1072"/>
      <c r="BI169" s="1073">
        <f t="shared" si="660"/>
        <v>0</v>
      </c>
      <c r="BJ169" s="1073">
        <f t="shared" si="661"/>
        <v>0</v>
      </c>
      <c r="BK169" s="1073">
        <f t="shared" si="662"/>
        <v>0</v>
      </c>
      <c r="BL169" s="1073">
        <f t="shared" si="663"/>
        <v>0</v>
      </c>
      <c r="BM169" s="508"/>
    </row>
    <row r="170" spans="1:65" ht="27" thickTop="1" thickBot="1">
      <c r="A170" s="1066"/>
      <c r="B170" s="1066"/>
      <c r="C170" s="1066"/>
      <c r="D170" s="1066"/>
      <c r="E170" s="1077"/>
      <c r="F170" s="1077"/>
      <c r="G170" s="1078"/>
      <c r="H170" s="1067" t="str">
        <f>+'Anexo 1 Matriz Inf Gestión-GD'!A174</f>
        <v>Proyecto 3299.02 Gestión e implementacion de acciones  para el aumento de la capacidad de desempeño  institucional integral de Corpocesar</v>
      </c>
      <c r="I170" s="1068">
        <f>SUM(I171:I180)</f>
        <v>0</v>
      </c>
      <c r="J170" s="1068">
        <f t="shared" ref="J170:AL170" si="848">SUM(J171:J180)</f>
        <v>0</v>
      </c>
      <c r="K170" s="1068">
        <f t="shared" si="848"/>
        <v>0</v>
      </c>
      <c r="L170" s="1068">
        <f t="shared" si="848"/>
        <v>0</v>
      </c>
      <c r="M170" s="1068">
        <f t="shared" si="848"/>
        <v>0</v>
      </c>
      <c r="N170" s="1068">
        <f t="shared" si="848"/>
        <v>0</v>
      </c>
      <c r="O170" s="1068">
        <f t="shared" si="848"/>
        <v>0</v>
      </c>
      <c r="P170" s="1068">
        <f t="shared" si="848"/>
        <v>0</v>
      </c>
      <c r="Q170" s="1068">
        <f t="shared" si="848"/>
        <v>0</v>
      </c>
      <c r="R170" s="1068">
        <f t="shared" si="848"/>
        <v>0</v>
      </c>
      <c r="S170" s="1068">
        <f t="shared" si="848"/>
        <v>0</v>
      </c>
      <c r="T170" s="1068">
        <f t="shared" si="848"/>
        <v>0</v>
      </c>
      <c r="U170" s="1068">
        <f t="shared" si="848"/>
        <v>0</v>
      </c>
      <c r="V170" s="1068">
        <f t="shared" si="848"/>
        <v>0</v>
      </c>
      <c r="W170" s="1068">
        <f t="shared" si="848"/>
        <v>0</v>
      </c>
      <c r="X170" s="1068">
        <f t="shared" si="848"/>
        <v>0</v>
      </c>
      <c r="Y170" s="1068">
        <f t="shared" si="848"/>
        <v>0</v>
      </c>
      <c r="Z170" s="1068">
        <f t="shared" si="848"/>
        <v>0</v>
      </c>
      <c r="AA170" s="1068">
        <f t="shared" si="848"/>
        <v>0</v>
      </c>
      <c r="AB170" s="1068">
        <f t="shared" si="848"/>
        <v>0</v>
      </c>
      <c r="AC170" s="1068">
        <f t="shared" si="848"/>
        <v>0</v>
      </c>
      <c r="AD170" s="1068">
        <f t="shared" si="848"/>
        <v>0</v>
      </c>
      <c r="AE170" s="1068">
        <f t="shared" si="848"/>
        <v>0</v>
      </c>
      <c r="AF170" s="1068">
        <f t="shared" si="848"/>
        <v>0</v>
      </c>
      <c r="AG170" s="1068">
        <f t="shared" si="848"/>
        <v>0</v>
      </c>
      <c r="AH170" s="1068">
        <f t="shared" si="848"/>
        <v>0</v>
      </c>
      <c r="AI170" s="1068">
        <f t="shared" si="848"/>
        <v>0</v>
      </c>
      <c r="AJ170" s="1068">
        <f t="shared" si="848"/>
        <v>0</v>
      </c>
      <c r="AK170" s="1068">
        <f t="shared" si="848"/>
        <v>0</v>
      </c>
      <c r="AL170" s="1068">
        <f t="shared" si="848"/>
        <v>0</v>
      </c>
      <c r="AM170" s="1068">
        <f t="shared" ref="AM170" si="849">SUM(AM171:AM180)</f>
        <v>0</v>
      </c>
      <c r="AN170" s="1068">
        <f t="shared" ref="AN170" si="850">SUM(AN171:AN180)</f>
        <v>0</v>
      </c>
      <c r="AO170" s="1068">
        <f t="shared" ref="AO170" si="851">SUM(AO171:AO180)</f>
        <v>0</v>
      </c>
      <c r="AP170" s="1068">
        <f t="shared" ref="AP170" si="852">SUM(AP171:AP180)</f>
        <v>0</v>
      </c>
      <c r="AQ170" s="1068">
        <f t="shared" ref="AQ170" si="853">SUM(AQ171:AQ180)</f>
        <v>0</v>
      </c>
      <c r="AR170" s="1068">
        <f t="shared" ref="AR170" si="854">SUM(AR171:AR180)</f>
        <v>0</v>
      </c>
      <c r="AS170" s="1068">
        <f t="shared" ref="AS170" si="855">SUM(AS171:AS180)</f>
        <v>0</v>
      </c>
      <c r="AT170" s="1068">
        <f t="shared" ref="AT170" si="856">SUM(AT171:AT180)</f>
        <v>0</v>
      </c>
      <c r="AU170" s="1068">
        <f t="shared" ref="AU170" si="857">SUM(AU171:AU180)</f>
        <v>0</v>
      </c>
      <c r="AV170" s="1068">
        <f t="shared" ref="AV170" si="858">SUM(AV171:AV180)</f>
        <v>0</v>
      </c>
      <c r="AW170" s="1068">
        <f t="shared" ref="AW170" si="859">SUM(AW171:AW180)</f>
        <v>0</v>
      </c>
      <c r="AX170" s="1068">
        <f t="shared" ref="AX170" si="860">SUM(AX171:AX180)</f>
        <v>0</v>
      </c>
      <c r="AY170" s="1068">
        <f t="shared" ref="AY170" si="861">SUM(AY171:AY180)</f>
        <v>0</v>
      </c>
      <c r="AZ170" s="1068">
        <f t="shared" ref="AZ170" si="862">SUM(AZ171:AZ180)</f>
        <v>0</v>
      </c>
      <c r="BA170" s="1068">
        <f t="shared" ref="BA170" si="863">SUM(BA171:BA180)</f>
        <v>0</v>
      </c>
      <c r="BB170" s="1068">
        <f t="shared" ref="BB170" si="864">SUM(BB171:BB180)</f>
        <v>0</v>
      </c>
      <c r="BC170" s="1068">
        <f t="shared" ref="BC170" si="865">SUM(BC171:BC180)</f>
        <v>0</v>
      </c>
      <c r="BD170" s="1068">
        <f t="shared" ref="BD170" si="866">SUM(BD171:BD180)</f>
        <v>0</v>
      </c>
      <c r="BE170" s="1068">
        <f t="shared" ref="BE170" si="867">SUM(BE171:BE180)</f>
        <v>0</v>
      </c>
      <c r="BF170" s="1068">
        <f t="shared" ref="BF170" si="868">SUM(BF171:BF180)</f>
        <v>0</v>
      </c>
      <c r="BG170" s="1068">
        <f t="shared" ref="BG170" si="869">SUM(BG171:BG180)</f>
        <v>0</v>
      </c>
      <c r="BH170" s="1068">
        <f t="shared" ref="BH170" si="870">SUM(BH171:BH180)</f>
        <v>0</v>
      </c>
      <c r="BI170" s="1069">
        <f t="shared" si="660"/>
        <v>0</v>
      </c>
      <c r="BJ170" s="1069">
        <f t="shared" si="661"/>
        <v>0</v>
      </c>
      <c r="BK170" s="1069">
        <f t="shared" si="662"/>
        <v>0</v>
      </c>
      <c r="BL170" s="1069">
        <f t="shared" si="663"/>
        <v>0</v>
      </c>
      <c r="BM170" s="1070"/>
    </row>
    <row r="171" spans="1:65" ht="39.75" thickTop="1" thickBot="1">
      <c r="A171" s="509"/>
      <c r="B171" s="509"/>
      <c r="C171" s="511"/>
      <c r="D171" s="511"/>
      <c r="E171" s="510"/>
      <c r="F171" s="510"/>
      <c r="G171" s="509"/>
      <c r="H171" s="1071" t="str">
        <f>+'Anexo 1 Matriz Inf Gestión-GD'!A175</f>
        <v>3299.02.01 Optimización del SIGC de la entidad en el marco del modelo integrado de planeación y gestión MIPG (revisión de la política de calidad y sus sistemas) enfocada al desempeño óptimo de la entidad - IEDI- (eficiencia comparativa).</v>
      </c>
      <c r="I171" s="1072"/>
      <c r="J171" s="1072"/>
      <c r="K171" s="1072"/>
      <c r="L171" s="1072"/>
      <c r="M171" s="1072"/>
      <c r="N171" s="1072"/>
      <c r="O171" s="1072"/>
      <c r="P171" s="1072"/>
      <c r="Q171" s="1072"/>
      <c r="R171" s="1072"/>
      <c r="S171" s="1072"/>
      <c r="T171" s="1072"/>
      <c r="U171" s="1072"/>
      <c r="V171" s="1072"/>
      <c r="W171" s="1072"/>
      <c r="X171" s="1072"/>
      <c r="Y171" s="1072"/>
      <c r="Z171" s="1072"/>
      <c r="AA171" s="1072"/>
      <c r="AB171" s="1072"/>
      <c r="AC171" s="1072"/>
      <c r="AD171" s="1072"/>
      <c r="AE171" s="1072"/>
      <c r="AF171" s="1072"/>
      <c r="AG171" s="1072"/>
      <c r="AH171" s="1072"/>
      <c r="AI171" s="1072"/>
      <c r="AJ171" s="1072"/>
      <c r="AK171" s="1072"/>
      <c r="AL171" s="1072"/>
      <c r="AM171" s="1072"/>
      <c r="AN171" s="1072"/>
      <c r="AO171" s="1072"/>
      <c r="AP171" s="1072"/>
      <c r="AQ171" s="1072"/>
      <c r="AR171" s="1072"/>
      <c r="AS171" s="1072"/>
      <c r="AT171" s="1072"/>
      <c r="AU171" s="1072"/>
      <c r="AV171" s="1072"/>
      <c r="AW171" s="1072"/>
      <c r="AX171" s="1072"/>
      <c r="AY171" s="1072"/>
      <c r="AZ171" s="1072"/>
      <c r="BA171" s="1072"/>
      <c r="BB171" s="1072"/>
      <c r="BC171" s="1072"/>
      <c r="BD171" s="1072"/>
      <c r="BE171" s="1072"/>
      <c r="BF171" s="1072"/>
      <c r="BG171" s="1072"/>
      <c r="BH171" s="1072"/>
      <c r="BI171" s="1073">
        <f t="shared" si="660"/>
        <v>0</v>
      </c>
      <c r="BJ171" s="1073">
        <f t="shared" si="661"/>
        <v>0</v>
      </c>
      <c r="BK171" s="1073">
        <f t="shared" si="662"/>
        <v>0</v>
      </c>
      <c r="BL171" s="1073">
        <f t="shared" si="663"/>
        <v>0</v>
      </c>
      <c r="BM171" s="508"/>
    </row>
    <row r="172" spans="1:65" ht="27" thickTop="1" thickBot="1">
      <c r="A172" s="509"/>
      <c r="B172" s="509"/>
      <c r="C172" s="511"/>
      <c r="D172" s="511"/>
      <c r="E172" s="510"/>
      <c r="F172" s="510"/>
      <c r="G172" s="509"/>
      <c r="H172" s="1071" t="str">
        <f>+'Anexo 1 Matriz Inf Gestión-GD'!A176</f>
        <v>3299.02.02 Fortalecimiento del control interno de gestión, en armonia con la política y retos del PGAR</v>
      </c>
      <c r="I172" s="1072"/>
      <c r="J172" s="1072"/>
      <c r="K172" s="1072"/>
      <c r="L172" s="1072"/>
      <c r="M172" s="1072"/>
      <c r="N172" s="1072"/>
      <c r="O172" s="1072"/>
      <c r="P172" s="1072"/>
      <c r="Q172" s="1072"/>
      <c r="R172" s="1072"/>
      <c r="S172" s="1072"/>
      <c r="T172" s="1072"/>
      <c r="U172" s="1072"/>
      <c r="V172" s="1072"/>
      <c r="W172" s="1072"/>
      <c r="X172" s="1072"/>
      <c r="Y172" s="1072"/>
      <c r="Z172" s="1072"/>
      <c r="AA172" s="1072"/>
      <c r="AB172" s="1072"/>
      <c r="AC172" s="1072"/>
      <c r="AD172" s="1072"/>
      <c r="AE172" s="1072"/>
      <c r="AF172" s="1072"/>
      <c r="AG172" s="1072"/>
      <c r="AH172" s="1072"/>
      <c r="AI172" s="1072"/>
      <c r="AJ172" s="1072"/>
      <c r="AK172" s="1072"/>
      <c r="AL172" s="1072"/>
      <c r="AM172" s="1072"/>
      <c r="AN172" s="1072"/>
      <c r="AO172" s="1072"/>
      <c r="AP172" s="1072"/>
      <c r="AQ172" s="1072"/>
      <c r="AR172" s="1072"/>
      <c r="AS172" s="1072"/>
      <c r="AT172" s="1072"/>
      <c r="AU172" s="1072"/>
      <c r="AV172" s="1072"/>
      <c r="AW172" s="1072"/>
      <c r="AX172" s="1072"/>
      <c r="AY172" s="1072"/>
      <c r="AZ172" s="1072"/>
      <c r="BA172" s="1072"/>
      <c r="BB172" s="1072"/>
      <c r="BC172" s="1072"/>
      <c r="BD172" s="1072"/>
      <c r="BE172" s="1072"/>
      <c r="BF172" s="1072"/>
      <c r="BG172" s="1072"/>
      <c r="BH172" s="1072"/>
      <c r="BI172" s="1073">
        <f t="shared" si="660"/>
        <v>0</v>
      </c>
      <c r="BJ172" s="1073">
        <f t="shared" si="661"/>
        <v>0</v>
      </c>
      <c r="BK172" s="1073">
        <f t="shared" si="662"/>
        <v>0</v>
      </c>
      <c r="BL172" s="1073">
        <f t="shared" si="663"/>
        <v>0</v>
      </c>
      <c r="BM172" s="508"/>
    </row>
    <row r="173" spans="1:65" ht="27" thickTop="1" thickBot="1">
      <c r="A173" s="509"/>
      <c r="B173" s="509"/>
      <c r="C173" s="511"/>
      <c r="D173" s="511"/>
      <c r="E173" s="510"/>
      <c r="F173" s="510"/>
      <c r="G173" s="509"/>
      <c r="H173" s="1071" t="str">
        <f>+'Anexo 1 Matriz Inf Gestión-GD'!A177</f>
        <v>3299.02.04 Fortalecimiento del Banco de Programas y Proyectos como soporte a la gestión de inversión ambiental de la entidad</v>
      </c>
      <c r="I173" s="1072"/>
      <c r="J173" s="1072"/>
      <c r="K173" s="1072"/>
      <c r="L173" s="1072"/>
      <c r="M173" s="1072"/>
      <c r="N173" s="1072"/>
      <c r="O173" s="1072"/>
      <c r="P173" s="1072"/>
      <c r="Q173" s="1072"/>
      <c r="R173" s="1072"/>
      <c r="S173" s="1072"/>
      <c r="T173" s="1072"/>
      <c r="U173" s="1072"/>
      <c r="V173" s="1072"/>
      <c r="W173" s="1072"/>
      <c r="X173" s="1072"/>
      <c r="Y173" s="1072"/>
      <c r="Z173" s="1072"/>
      <c r="AA173" s="1072"/>
      <c r="AB173" s="1072"/>
      <c r="AC173" s="1072"/>
      <c r="AD173" s="1072"/>
      <c r="AE173" s="1072"/>
      <c r="AF173" s="1072"/>
      <c r="AG173" s="1072"/>
      <c r="AH173" s="1072"/>
      <c r="AI173" s="1072"/>
      <c r="AJ173" s="1072"/>
      <c r="AK173" s="1072"/>
      <c r="AL173" s="1072"/>
      <c r="AM173" s="1072"/>
      <c r="AN173" s="1072"/>
      <c r="AO173" s="1072"/>
      <c r="AP173" s="1072"/>
      <c r="AQ173" s="1072"/>
      <c r="AR173" s="1072"/>
      <c r="AS173" s="1072"/>
      <c r="AT173" s="1072"/>
      <c r="AU173" s="1072"/>
      <c r="AV173" s="1072"/>
      <c r="AW173" s="1072"/>
      <c r="AX173" s="1072"/>
      <c r="AY173" s="1072"/>
      <c r="AZ173" s="1072"/>
      <c r="BA173" s="1072"/>
      <c r="BB173" s="1072"/>
      <c r="BC173" s="1072"/>
      <c r="BD173" s="1072"/>
      <c r="BE173" s="1072"/>
      <c r="BF173" s="1072"/>
      <c r="BG173" s="1072"/>
      <c r="BH173" s="1072"/>
      <c r="BI173" s="1073">
        <f t="shared" si="660"/>
        <v>0</v>
      </c>
      <c r="BJ173" s="1073">
        <f t="shared" si="661"/>
        <v>0</v>
      </c>
      <c r="BK173" s="1073">
        <f t="shared" si="662"/>
        <v>0</v>
      </c>
      <c r="BL173" s="1073">
        <f t="shared" si="663"/>
        <v>0</v>
      </c>
      <c r="BM173" s="508"/>
    </row>
    <row r="174" spans="1:65" ht="27" thickTop="1" thickBot="1">
      <c r="A174" s="509"/>
      <c r="B174" s="509"/>
      <c r="C174" s="511"/>
      <c r="D174" s="511"/>
      <c r="E174" s="510"/>
      <c r="F174" s="510"/>
      <c r="G174" s="509"/>
      <c r="H174" s="1071" t="str">
        <f>+'Anexo 1 Matriz Inf Gestión-GD'!A178</f>
        <v>3299.02.06 Optimización física de la sede principal de Corpocesar (infraestructura, dotación, mantenimiento, según diagnóstico, PM y SIGC).</v>
      </c>
      <c r="I174" s="1072"/>
      <c r="J174" s="1072"/>
      <c r="K174" s="1072"/>
      <c r="L174" s="1072"/>
      <c r="M174" s="1072"/>
      <c r="N174" s="1072"/>
      <c r="O174" s="1072"/>
      <c r="P174" s="1072"/>
      <c r="Q174" s="1072"/>
      <c r="R174" s="1072"/>
      <c r="S174" s="1072"/>
      <c r="T174" s="1072"/>
      <c r="U174" s="1072"/>
      <c r="V174" s="1072"/>
      <c r="W174" s="1072"/>
      <c r="X174" s="1072"/>
      <c r="Y174" s="1072"/>
      <c r="Z174" s="1072"/>
      <c r="AA174" s="1072"/>
      <c r="AB174" s="1072"/>
      <c r="AC174" s="1072"/>
      <c r="AD174" s="1072"/>
      <c r="AE174" s="1072"/>
      <c r="AF174" s="1072"/>
      <c r="AG174" s="1072"/>
      <c r="AH174" s="1072"/>
      <c r="AI174" s="1072"/>
      <c r="AJ174" s="1072"/>
      <c r="AK174" s="1072"/>
      <c r="AL174" s="1072"/>
      <c r="AM174" s="1072"/>
      <c r="AN174" s="1072"/>
      <c r="AO174" s="1072"/>
      <c r="AP174" s="1072"/>
      <c r="AQ174" s="1072"/>
      <c r="AR174" s="1072"/>
      <c r="AS174" s="1072"/>
      <c r="AT174" s="1072"/>
      <c r="AU174" s="1072"/>
      <c r="AV174" s="1072"/>
      <c r="AW174" s="1072"/>
      <c r="AX174" s="1072"/>
      <c r="AY174" s="1072"/>
      <c r="AZ174" s="1072"/>
      <c r="BA174" s="1072"/>
      <c r="BB174" s="1072"/>
      <c r="BC174" s="1072"/>
      <c r="BD174" s="1072"/>
      <c r="BE174" s="1072"/>
      <c r="BF174" s="1072"/>
      <c r="BG174" s="1072"/>
      <c r="BH174" s="1072"/>
      <c r="BI174" s="1073">
        <f t="shared" si="660"/>
        <v>0</v>
      </c>
      <c r="BJ174" s="1073">
        <f t="shared" si="661"/>
        <v>0</v>
      </c>
      <c r="BK174" s="1073">
        <f t="shared" si="662"/>
        <v>0</v>
      </c>
      <c r="BL174" s="1073">
        <f t="shared" si="663"/>
        <v>0</v>
      </c>
      <c r="BM174" s="508"/>
    </row>
    <row r="175" spans="1:65" ht="27" thickTop="1" thickBot="1">
      <c r="A175" s="509"/>
      <c r="B175" s="509"/>
      <c r="C175" s="511"/>
      <c r="D175" s="511"/>
      <c r="E175" s="510"/>
      <c r="F175" s="510"/>
      <c r="G175" s="509"/>
      <c r="H175" s="1071" t="str">
        <f>+'Anexo 1 Matriz Inf Gestión-GD'!A179</f>
        <v>3299.02.07 Optimización física de las seccionales (infraestructura, Dotación, mantenimiento, según diagnóstico, PM y SIGC).</v>
      </c>
      <c r="I175" s="1072"/>
      <c r="J175" s="1072"/>
      <c r="K175" s="1072"/>
      <c r="L175" s="1072"/>
      <c r="M175" s="1072"/>
      <c r="N175" s="1072"/>
      <c r="O175" s="1072"/>
      <c r="P175" s="1072"/>
      <c r="Q175" s="1072"/>
      <c r="R175" s="1072"/>
      <c r="S175" s="1072"/>
      <c r="T175" s="1072"/>
      <c r="U175" s="1072"/>
      <c r="V175" s="1072"/>
      <c r="W175" s="1072"/>
      <c r="X175" s="1072"/>
      <c r="Y175" s="1072"/>
      <c r="Z175" s="1072"/>
      <c r="AA175" s="1072"/>
      <c r="AB175" s="1072"/>
      <c r="AC175" s="1072"/>
      <c r="AD175" s="1072"/>
      <c r="AE175" s="1072"/>
      <c r="AF175" s="1072"/>
      <c r="AG175" s="1072"/>
      <c r="AH175" s="1072"/>
      <c r="AI175" s="1072"/>
      <c r="AJ175" s="1072"/>
      <c r="AK175" s="1072"/>
      <c r="AL175" s="1072"/>
      <c r="AM175" s="1072"/>
      <c r="AN175" s="1072"/>
      <c r="AO175" s="1072"/>
      <c r="AP175" s="1072"/>
      <c r="AQ175" s="1072"/>
      <c r="AR175" s="1072"/>
      <c r="AS175" s="1072"/>
      <c r="AT175" s="1072"/>
      <c r="AU175" s="1072"/>
      <c r="AV175" s="1072"/>
      <c r="AW175" s="1072"/>
      <c r="AX175" s="1072"/>
      <c r="AY175" s="1072"/>
      <c r="AZ175" s="1072"/>
      <c r="BA175" s="1072"/>
      <c r="BB175" s="1072"/>
      <c r="BC175" s="1072"/>
      <c r="BD175" s="1072"/>
      <c r="BE175" s="1072"/>
      <c r="BF175" s="1072"/>
      <c r="BG175" s="1072"/>
      <c r="BH175" s="1072"/>
      <c r="BI175" s="1073">
        <f t="shared" si="660"/>
        <v>0</v>
      </c>
      <c r="BJ175" s="1073">
        <f t="shared" si="661"/>
        <v>0</v>
      </c>
      <c r="BK175" s="1073">
        <f t="shared" si="662"/>
        <v>0</v>
      </c>
      <c r="BL175" s="1073">
        <f t="shared" si="663"/>
        <v>0</v>
      </c>
      <c r="BM175" s="508"/>
    </row>
    <row r="176" spans="1:65" ht="27" thickTop="1" thickBot="1">
      <c r="A176" s="509"/>
      <c r="B176" s="509"/>
      <c r="C176" s="511"/>
      <c r="D176" s="511"/>
      <c r="E176" s="510"/>
      <c r="F176" s="510"/>
      <c r="G176" s="509"/>
      <c r="H176" s="1071" t="str">
        <f>+'Anexo 1 Matriz Inf Gestión-GD'!A180</f>
        <v>3299.02.05 Concertación, gestión e Implementación del programa de bienestar social e incentivos, y de formación y capacitación</v>
      </c>
      <c r="I176" s="1072"/>
      <c r="J176" s="1072"/>
      <c r="K176" s="1072"/>
      <c r="L176" s="1072"/>
      <c r="M176" s="1072"/>
      <c r="N176" s="1072"/>
      <c r="O176" s="1072"/>
      <c r="P176" s="1072"/>
      <c r="Q176" s="1072"/>
      <c r="R176" s="1072"/>
      <c r="S176" s="1072"/>
      <c r="T176" s="1072"/>
      <c r="U176" s="1072"/>
      <c r="V176" s="1072"/>
      <c r="W176" s="1072"/>
      <c r="X176" s="1072"/>
      <c r="Y176" s="1072"/>
      <c r="Z176" s="1072"/>
      <c r="AA176" s="1072"/>
      <c r="AB176" s="1072"/>
      <c r="AC176" s="1072"/>
      <c r="AD176" s="1072"/>
      <c r="AE176" s="1072"/>
      <c r="AF176" s="1072"/>
      <c r="AG176" s="1072"/>
      <c r="AH176" s="1072"/>
      <c r="AI176" s="1072"/>
      <c r="AJ176" s="1072"/>
      <c r="AK176" s="1072"/>
      <c r="AL176" s="1072"/>
      <c r="AM176" s="1072"/>
      <c r="AN176" s="1072"/>
      <c r="AO176" s="1072"/>
      <c r="AP176" s="1072"/>
      <c r="AQ176" s="1072"/>
      <c r="AR176" s="1072"/>
      <c r="AS176" s="1072"/>
      <c r="AT176" s="1072"/>
      <c r="AU176" s="1072"/>
      <c r="AV176" s="1072"/>
      <c r="AW176" s="1072"/>
      <c r="AX176" s="1072"/>
      <c r="AY176" s="1072"/>
      <c r="AZ176" s="1072"/>
      <c r="BA176" s="1072"/>
      <c r="BB176" s="1072"/>
      <c r="BC176" s="1072"/>
      <c r="BD176" s="1072"/>
      <c r="BE176" s="1072"/>
      <c r="BF176" s="1072"/>
      <c r="BG176" s="1072"/>
      <c r="BH176" s="1072"/>
      <c r="BI176" s="1073">
        <f t="shared" si="660"/>
        <v>0</v>
      </c>
      <c r="BJ176" s="1073">
        <f t="shared" si="661"/>
        <v>0</v>
      </c>
      <c r="BK176" s="1073">
        <f t="shared" si="662"/>
        <v>0</v>
      </c>
      <c r="BL176" s="1073">
        <f t="shared" si="663"/>
        <v>0</v>
      </c>
      <c r="BM176" s="508"/>
    </row>
    <row r="177" spans="1:65" ht="16.5" thickTop="1" thickBot="1">
      <c r="A177" s="509"/>
      <c r="B177" s="509"/>
      <c r="C177" s="511"/>
      <c r="D177" s="511"/>
      <c r="E177" s="510"/>
      <c r="F177" s="510"/>
      <c r="G177" s="509"/>
      <c r="H177" s="1071" t="str">
        <f>+'Anexo 1 Matriz Inf Gestión-GD'!A181</f>
        <v>3299.02.08 Protección de activos y bienes corporativos</v>
      </c>
      <c r="I177" s="1072"/>
      <c r="J177" s="1072"/>
      <c r="K177" s="1072"/>
      <c r="L177" s="1072"/>
      <c r="M177" s="1072"/>
      <c r="N177" s="1072"/>
      <c r="O177" s="1072"/>
      <c r="P177" s="1072"/>
      <c r="Q177" s="1072"/>
      <c r="R177" s="1072"/>
      <c r="S177" s="1072"/>
      <c r="T177" s="1072"/>
      <c r="U177" s="1072"/>
      <c r="V177" s="1072"/>
      <c r="W177" s="1072"/>
      <c r="X177" s="1072"/>
      <c r="Y177" s="1072"/>
      <c r="Z177" s="1072"/>
      <c r="AA177" s="1072"/>
      <c r="AB177" s="1072"/>
      <c r="AC177" s="1072"/>
      <c r="AD177" s="1072"/>
      <c r="AE177" s="1072"/>
      <c r="AF177" s="1072"/>
      <c r="AG177" s="1072"/>
      <c r="AH177" s="1072"/>
      <c r="AI177" s="1072"/>
      <c r="AJ177" s="1072"/>
      <c r="AK177" s="1072"/>
      <c r="AL177" s="1072"/>
      <c r="AM177" s="1072"/>
      <c r="AN177" s="1072"/>
      <c r="AO177" s="1072"/>
      <c r="AP177" s="1072"/>
      <c r="AQ177" s="1072"/>
      <c r="AR177" s="1072"/>
      <c r="AS177" s="1072"/>
      <c r="AT177" s="1072"/>
      <c r="AU177" s="1072"/>
      <c r="AV177" s="1072"/>
      <c r="AW177" s="1072"/>
      <c r="AX177" s="1072"/>
      <c r="AY177" s="1072"/>
      <c r="AZ177" s="1072"/>
      <c r="BA177" s="1072"/>
      <c r="BB177" s="1072"/>
      <c r="BC177" s="1072"/>
      <c r="BD177" s="1072"/>
      <c r="BE177" s="1072"/>
      <c r="BF177" s="1072"/>
      <c r="BG177" s="1072"/>
      <c r="BH177" s="1072"/>
      <c r="BI177" s="1073">
        <f t="shared" si="660"/>
        <v>0</v>
      </c>
      <c r="BJ177" s="1073">
        <f t="shared" si="661"/>
        <v>0</v>
      </c>
      <c r="BK177" s="1073">
        <f t="shared" si="662"/>
        <v>0</v>
      </c>
      <c r="BL177" s="1073">
        <f t="shared" si="663"/>
        <v>0</v>
      </c>
      <c r="BM177" s="508"/>
    </row>
    <row r="178" spans="1:65" ht="27" thickTop="1" thickBot="1">
      <c r="A178" s="509"/>
      <c r="B178" s="509"/>
      <c r="C178" s="511"/>
      <c r="D178" s="511"/>
      <c r="E178" s="510"/>
      <c r="F178" s="510"/>
      <c r="G178" s="509"/>
      <c r="H178" s="1071" t="str">
        <f>+'Anexo 1 Matriz Inf Gestión-GD'!A182</f>
        <v>3299.02.03 Optimización integrada del sistema de atención al ciudadano (PQR´s, ventanilla única), quejas y sanciones ambientales</v>
      </c>
      <c r="I178" s="1072"/>
      <c r="J178" s="1072"/>
      <c r="K178" s="1072"/>
      <c r="L178" s="1072"/>
      <c r="M178" s="1072"/>
      <c r="N178" s="1072"/>
      <c r="O178" s="1072"/>
      <c r="P178" s="1072"/>
      <c r="Q178" s="1072"/>
      <c r="R178" s="1072"/>
      <c r="S178" s="1072"/>
      <c r="T178" s="1072"/>
      <c r="U178" s="1072"/>
      <c r="V178" s="1072"/>
      <c r="W178" s="1072"/>
      <c r="X178" s="1072"/>
      <c r="Y178" s="1072"/>
      <c r="Z178" s="1072"/>
      <c r="AA178" s="1072"/>
      <c r="AB178" s="1072"/>
      <c r="AC178" s="1072"/>
      <c r="AD178" s="1072"/>
      <c r="AE178" s="1072"/>
      <c r="AF178" s="1072"/>
      <c r="AG178" s="1072"/>
      <c r="AH178" s="1072"/>
      <c r="AI178" s="1072"/>
      <c r="AJ178" s="1072"/>
      <c r="AK178" s="1072"/>
      <c r="AL178" s="1072"/>
      <c r="AM178" s="1072"/>
      <c r="AN178" s="1072"/>
      <c r="AO178" s="1072"/>
      <c r="AP178" s="1072"/>
      <c r="AQ178" s="1072"/>
      <c r="AR178" s="1072"/>
      <c r="AS178" s="1072"/>
      <c r="AT178" s="1072"/>
      <c r="AU178" s="1072"/>
      <c r="AV178" s="1072"/>
      <c r="AW178" s="1072"/>
      <c r="AX178" s="1072"/>
      <c r="AY178" s="1072"/>
      <c r="AZ178" s="1072"/>
      <c r="BA178" s="1072"/>
      <c r="BB178" s="1072"/>
      <c r="BC178" s="1072"/>
      <c r="BD178" s="1072"/>
      <c r="BE178" s="1072"/>
      <c r="BF178" s="1072"/>
      <c r="BG178" s="1072"/>
      <c r="BH178" s="1072"/>
      <c r="BI178" s="1073">
        <f t="shared" si="660"/>
        <v>0</v>
      </c>
      <c r="BJ178" s="1073">
        <f t="shared" si="661"/>
        <v>0</v>
      </c>
      <c r="BK178" s="1073">
        <f t="shared" si="662"/>
        <v>0</v>
      </c>
      <c r="BL178" s="1073">
        <f t="shared" si="663"/>
        <v>0</v>
      </c>
      <c r="BM178" s="508"/>
    </row>
    <row r="179" spans="1:65" ht="39.75" thickTop="1" thickBot="1">
      <c r="A179" s="509"/>
      <c r="B179" s="509"/>
      <c r="C179" s="511"/>
      <c r="D179" s="511"/>
      <c r="E179" s="510"/>
      <c r="F179" s="510"/>
      <c r="G179" s="509"/>
      <c r="H179" s="1071" t="str">
        <f>+'Anexo 1 Matriz Inf Gestión-GD'!A183</f>
        <v>3299.02.09 Continuación de la optimización fisica y operativa (TRD, TVD, PINAR, SIC) de la gestión archívistica y documental (consulta virtual y física centro de documentación), según plan específico</v>
      </c>
      <c r="I179" s="1072"/>
      <c r="J179" s="1072"/>
      <c r="K179" s="1072"/>
      <c r="L179" s="1072"/>
      <c r="M179" s="1072"/>
      <c r="N179" s="1072"/>
      <c r="O179" s="1072"/>
      <c r="P179" s="1072"/>
      <c r="Q179" s="1072"/>
      <c r="R179" s="1072"/>
      <c r="S179" s="1072"/>
      <c r="T179" s="1072"/>
      <c r="U179" s="1072"/>
      <c r="V179" s="1072"/>
      <c r="W179" s="1072"/>
      <c r="X179" s="1072"/>
      <c r="Y179" s="1072"/>
      <c r="Z179" s="1072"/>
      <c r="AA179" s="1072"/>
      <c r="AB179" s="1072"/>
      <c r="AC179" s="1072"/>
      <c r="AD179" s="1072"/>
      <c r="AE179" s="1072"/>
      <c r="AF179" s="1072"/>
      <c r="AG179" s="1072"/>
      <c r="AH179" s="1072"/>
      <c r="AI179" s="1072"/>
      <c r="AJ179" s="1072"/>
      <c r="AK179" s="1072"/>
      <c r="AL179" s="1072"/>
      <c r="AM179" s="1072"/>
      <c r="AN179" s="1072"/>
      <c r="AO179" s="1072"/>
      <c r="AP179" s="1072"/>
      <c r="AQ179" s="1072"/>
      <c r="AR179" s="1072"/>
      <c r="AS179" s="1072"/>
      <c r="AT179" s="1072"/>
      <c r="AU179" s="1072"/>
      <c r="AV179" s="1072"/>
      <c r="AW179" s="1072"/>
      <c r="AX179" s="1072"/>
      <c r="AY179" s="1072"/>
      <c r="AZ179" s="1072"/>
      <c r="BA179" s="1072"/>
      <c r="BB179" s="1072"/>
      <c r="BC179" s="1072"/>
      <c r="BD179" s="1072"/>
      <c r="BE179" s="1072"/>
      <c r="BF179" s="1072"/>
      <c r="BG179" s="1072"/>
      <c r="BH179" s="1072"/>
      <c r="BI179" s="1073">
        <f t="shared" si="660"/>
        <v>0</v>
      </c>
      <c r="BJ179" s="1073">
        <f t="shared" si="661"/>
        <v>0</v>
      </c>
      <c r="BK179" s="1073">
        <f t="shared" si="662"/>
        <v>0</v>
      </c>
      <c r="BL179" s="1073">
        <f t="shared" si="663"/>
        <v>0</v>
      </c>
      <c r="BM179" s="508"/>
    </row>
    <row r="180" spans="1:65" ht="16.5" thickTop="1" thickBot="1">
      <c r="A180" s="509"/>
      <c r="B180" s="509"/>
      <c r="C180" s="511"/>
      <c r="D180" s="511"/>
      <c r="E180" s="510"/>
      <c r="F180" s="510"/>
      <c r="G180" s="509"/>
      <c r="H180" s="1071" t="str">
        <f>+'Anexo 1 Matriz Inf Gestión-GD'!A184</f>
        <v>3299.02.10 Optimización de la estrategia de Compras públicas sostenibles</v>
      </c>
      <c r="I180" s="1072"/>
      <c r="J180" s="1072"/>
      <c r="K180" s="1072"/>
      <c r="L180" s="1072"/>
      <c r="M180" s="1072"/>
      <c r="N180" s="1072"/>
      <c r="O180" s="1072"/>
      <c r="P180" s="1072"/>
      <c r="Q180" s="1072"/>
      <c r="R180" s="1072"/>
      <c r="S180" s="1072"/>
      <c r="T180" s="1072"/>
      <c r="U180" s="1072"/>
      <c r="V180" s="1072"/>
      <c r="W180" s="1072"/>
      <c r="X180" s="1072"/>
      <c r="Y180" s="1072"/>
      <c r="Z180" s="1072"/>
      <c r="AA180" s="1072"/>
      <c r="AB180" s="1072"/>
      <c r="AC180" s="1072"/>
      <c r="AD180" s="1072"/>
      <c r="AE180" s="1072"/>
      <c r="AF180" s="1072"/>
      <c r="AG180" s="1072"/>
      <c r="AH180" s="1072"/>
      <c r="AI180" s="1072"/>
      <c r="AJ180" s="1072"/>
      <c r="AK180" s="1072"/>
      <c r="AL180" s="1072"/>
      <c r="AM180" s="1072"/>
      <c r="AN180" s="1072"/>
      <c r="AO180" s="1072"/>
      <c r="AP180" s="1072"/>
      <c r="AQ180" s="1072"/>
      <c r="AR180" s="1072"/>
      <c r="AS180" s="1072"/>
      <c r="AT180" s="1072"/>
      <c r="AU180" s="1072"/>
      <c r="AV180" s="1072"/>
      <c r="AW180" s="1072"/>
      <c r="AX180" s="1072"/>
      <c r="AY180" s="1072"/>
      <c r="AZ180" s="1072"/>
      <c r="BA180" s="1072"/>
      <c r="BB180" s="1072"/>
      <c r="BC180" s="1072"/>
      <c r="BD180" s="1072"/>
      <c r="BE180" s="1072"/>
      <c r="BF180" s="1072"/>
      <c r="BG180" s="1072"/>
      <c r="BH180" s="1072"/>
      <c r="BI180" s="1073">
        <f t="shared" si="660"/>
        <v>0</v>
      </c>
      <c r="BJ180" s="1073">
        <f t="shared" si="661"/>
        <v>0</v>
      </c>
      <c r="BK180" s="1073">
        <f t="shared" si="662"/>
        <v>0</v>
      </c>
      <c r="BL180" s="1073">
        <f t="shared" si="663"/>
        <v>0</v>
      </c>
      <c r="BM180" s="508"/>
    </row>
    <row r="181" spans="1:65" ht="52.5" thickTop="1" thickBot="1">
      <c r="A181" s="1066"/>
      <c r="B181" s="1066"/>
      <c r="C181" s="1066"/>
      <c r="D181" s="1066"/>
      <c r="E181" s="1077"/>
      <c r="F181" s="1077"/>
      <c r="G181" s="1078"/>
      <c r="H181" s="1067" t="str">
        <f>+'Anexo 1 Matriz Inf Gestión-GD'!A185</f>
        <v>Proyecto 3299.03 Fortalecimiento institucional sostenible del ejercicio de la autoridad ambiental regional  (seguimiento, control y vigilancia) y apoyo  integral de los procesos operativos de trámites ambientales otorgados por la Corporación</v>
      </c>
      <c r="I181" s="1068">
        <f>SUM(I182:I188)</f>
        <v>0</v>
      </c>
      <c r="J181" s="1068">
        <f t="shared" ref="J181:AL181" si="871">SUM(J182:J188)</f>
        <v>0</v>
      </c>
      <c r="K181" s="1068">
        <f t="shared" si="871"/>
        <v>0</v>
      </c>
      <c r="L181" s="1068">
        <f t="shared" si="871"/>
        <v>0</v>
      </c>
      <c r="M181" s="1068">
        <f t="shared" si="871"/>
        <v>0</v>
      </c>
      <c r="N181" s="1068">
        <f t="shared" si="871"/>
        <v>0</v>
      </c>
      <c r="O181" s="1068">
        <f t="shared" si="871"/>
        <v>0</v>
      </c>
      <c r="P181" s="1068">
        <f t="shared" si="871"/>
        <v>0</v>
      </c>
      <c r="Q181" s="1068">
        <f t="shared" si="871"/>
        <v>0</v>
      </c>
      <c r="R181" s="1068">
        <f t="shared" si="871"/>
        <v>0</v>
      </c>
      <c r="S181" s="1068">
        <f t="shared" si="871"/>
        <v>0</v>
      </c>
      <c r="T181" s="1068">
        <f t="shared" si="871"/>
        <v>0</v>
      </c>
      <c r="U181" s="1068">
        <f t="shared" si="871"/>
        <v>0</v>
      </c>
      <c r="V181" s="1068">
        <f t="shared" si="871"/>
        <v>0</v>
      </c>
      <c r="W181" s="1068">
        <f t="shared" si="871"/>
        <v>0</v>
      </c>
      <c r="X181" s="1068">
        <f t="shared" si="871"/>
        <v>0</v>
      </c>
      <c r="Y181" s="1068">
        <f t="shared" si="871"/>
        <v>0</v>
      </c>
      <c r="Z181" s="1068">
        <f t="shared" si="871"/>
        <v>0</v>
      </c>
      <c r="AA181" s="1068">
        <f t="shared" si="871"/>
        <v>0</v>
      </c>
      <c r="AB181" s="1068">
        <f t="shared" si="871"/>
        <v>0</v>
      </c>
      <c r="AC181" s="1068">
        <f t="shared" si="871"/>
        <v>0</v>
      </c>
      <c r="AD181" s="1068">
        <f t="shared" si="871"/>
        <v>0</v>
      </c>
      <c r="AE181" s="1068">
        <f t="shared" si="871"/>
        <v>0</v>
      </c>
      <c r="AF181" s="1068">
        <f t="shared" si="871"/>
        <v>0</v>
      </c>
      <c r="AG181" s="1068">
        <f t="shared" si="871"/>
        <v>0</v>
      </c>
      <c r="AH181" s="1068">
        <f t="shared" si="871"/>
        <v>0</v>
      </c>
      <c r="AI181" s="1068">
        <f t="shared" si="871"/>
        <v>0</v>
      </c>
      <c r="AJ181" s="1068">
        <f t="shared" si="871"/>
        <v>0</v>
      </c>
      <c r="AK181" s="1068">
        <f t="shared" si="871"/>
        <v>0</v>
      </c>
      <c r="AL181" s="1068">
        <f t="shared" si="871"/>
        <v>0</v>
      </c>
      <c r="AM181" s="1068">
        <f t="shared" ref="AM181" si="872">SUM(AM182:AM188)</f>
        <v>0</v>
      </c>
      <c r="AN181" s="1068">
        <f t="shared" ref="AN181" si="873">SUM(AN182:AN188)</f>
        <v>0</v>
      </c>
      <c r="AO181" s="1068">
        <f t="shared" ref="AO181" si="874">SUM(AO182:AO188)</f>
        <v>0</v>
      </c>
      <c r="AP181" s="1068">
        <f t="shared" ref="AP181" si="875">SUM(AP182:AP188)</f>
        <v>0</v>
      </c>
      <c r="AQ181" s="1068">
        <f t="shared" ref="AQ181" si="876">SUM(AQ182:AQ188)</f>
        <v>0</v>
      </c>
      <c r="AR181" s="1068">
        <f t="shared" ref="AR181" si="877">SUM(AR182:AR188)</f>
        <v>0</v>
      </c>
      <c r="AS181" s="1068">
        <f t="shared" ref="AS181" si="878">SUM(AS182:AS188)</f>
        <v>0</v>
      </c>
      <c r="AT181" s="1068">
        <f t="shared" ref="AT181" si="879">SUM(AT182:AT188)</f>
        <v>0</v>
      </c>
      <c r="AU181" s="1068">
        <f t="shared" ref="AU181" si="880">SUM(AU182:AU188)</f>
        <v>0</v>
      </c>
      <c r="AV181" s="1068">
        <f t="shared" ref="AV181" si="881">SUM(AV182:AV188)</f>
        <v>0</v>
      </c>
      <c r="AW181" s="1068">
        <f t="shared" ref="AW181" si="882">SUM(AW182:AW188)</f>
        <v>0</v>
      </c>
      <c r="AX181" s="1068">
        <f t="shared" ref="AX181" si="883">SUM(AX182:AX188)</f>
        <v>0</v>
      </c>
      <c r="AY181" s="1068">
        <f t="shared" ref="AY181" si="884">SUM(AY182:AY188)</f>
        <v>0</v>
      </c>
      <c r="AZ181" s="1068">
        <f t="shared" ref="AZ181" si="885">SUM(AZ182:AZ188)</f>
        <v>0</v>
      </c>
      <c r="BA181" s="1068">
        <f t="shared" ref="BA181" si="886">SUM(BA182:BA188)</f>
        <v>0</v>
      </c>
      <c r="BB181" s="1068">
        <f t="shared" ref="BB181" si="887">SUM(BB182:BB188)</f>
        <v>0</v>
      </c>
      <c r="BC181" s="1068">
        <f t="shared" ref="BC181" si="888">SUM(BC182:BC188)</f>
        <v>0</v>
      </c>
      <c r="BD181" s="1068">
        <f t="shared" ref="BD181" si="889">SUM(BD182:BD188)</f>
        <v>0</v>
      </c>
      <c r="BE181" s="1068">
        <f t="shared" ref="BE181" si="890">SUM(BE182:BE188)</f>
        <v>0</v>
      </c>
      <c r="BF181" s="1068">
        <f t="shared" ref="BF181" si="891">SUM(BF182:BF188)</f>
        <v>0</v>
      </c>
      <c r="BG181" s="1068">
        <f t="shared" ref="BG181" si="892">SUM(BG182:BG188)</f>
        <v>0</v>
      </c>
      <c r="BH181" s="1068">
        <f t="shared" ref="BH181" si="893">SUM(BH182:BH188)</f>
        <v>0</v>
      </c>
      <c r="BI181" s="1069">
        <f t="shared" si="660"/>
        <v>0</v>
      </c>
      <c r="BJ181" s="1069">
        <f t="shared" si="661"/>
        <v>0</v>
      </c>
      <c r="BK181" s="1069">
        <f t="shared" si="662"/>
        <v>0</v>
      </c>
      <c r="BL181" s="1069">
        <f t="shared" si="663"/>
        <v>0</v>
      </c>
      <c r="BM181" s="1070"/>
    </row>
    <row r="182" spans="1:65" ht="27" thickTop="1" thickBot="1">
      <c r="A182" s="509"/>
      <c r="B182" s="509"/>
      <c r="C182" s="511"/>
      <c r="D182" s="511"/>
      <c r="E182" s="510"/>
      <c r="F182" s="510"/>
      <c r="G182" s="509"/>
      <c r="H182" s="1071" t="str">
        <f>+'Anexo 1 Matriz Inf Gestión-GD'!A186</f>
        <v>3299.03.01 Implementación de una estrategia de seguimiento documental a los compromisos adquiridos mediante informes impuestos en el acto administrativo</v>
      </c>
      <c r="I182" s="1072"/>
      <c r="J182" s="1072"/>
      <c r="K182" s="1072"/>
      <c r="L182" s="1072"/>
      <c r="M182" s="1072"/>
      <c r="N182" s="1072"/>
      <c r="O182" s="1072"/>
      <c r="P182" s="1072"/>
      <c r="Q182" s="1072"/>
      <c r="R182" s="1072"/>
      <c r="S182" s="1072"/>
      <c r="T182" s="1072"/>
      <c r="U182" s="1072"/>
      <c r="V182" s="1072"/>
      <c r="W182" s="1072"/>
      <c r="X182" s="1072"/>
      <c r="Y182" s="1072"/>
      <c r="Z182" s="1072"/>
      <c r="AA182" s="1072"/>
      <c r="AB182" s="1072"/>
      <c r="AC182" s="1072"/>
      <c r="AD182" s="1072"/>
      <c r="AE182" s="1072"/>
      <c r="AF182" s="1072"/>
      <c r="AG182" s="1072"/>
      <c r="AH182" s="1072"/>
      <c r="AI182" s="1072"/>
      <c r="AJ182" s="1072"/>
      <c r="AK182" s="1072"/>
      <c r="AL182" s="1072"/>
      <c r="AM182" s="1072"/>
      <c r="AN182" s="1072"/>
      <c r="AO182" s="1072"/>
      <c r="AP182" s="1072"/>
      <c r="AQ182" s="1072"/>
      <c r="AR182" s="1072"/>
      <c r="AS182" s="1072"/>
      <c r="AT182" s="1072"/>
      <c r="AU182" s="1072"/>
      <c r="AV182" s="1072"/>
      <c r="AW182" s="1072"/>
      <c r="AX182" s="1072"/>
      <c r="AY182" s="1072"/>
      <c r="AZ182" s="1072"/>
      <c r="BA182" s="1072"/>
      <c r="BB182" s="1072"/>
      <c r="BC182" s="1072"/>
      <c r="BD182" s="1072"/>
      <c r="BE182" s="1072"/>
      <c r="BF182" s="1072"/>
      <c r="BG182" s="1072"/>
      <c r="BH182" s="1072"/>
      <c r="BI182" s="1073">
        <f t="shared" si="660"/>
        <v>0</v>
      </c>
      <c r="BJ182" s="1073">
        <f t="shared" si="661"/>
        <v>0</v>
      </c>
      <c r="BK182" s="1073">
        <f t="shared" si="662"/>
        <v>0</v>
      </c>
      <c r="BL182" s="1073">
        <f t="shared" si="663"/>
        <v>0</v>
      </c>
      <c r="BM182" s="508"/>
    </row>
    <row r="183" spans="1:65" ht="16.5" thickTop="1" thickBot="1">
      <c r="A183" s="509"/>
      <c r="B183" s="509"/>
      <c r="C183" s="511"/>
      <c r="D183" s="511"/>
      <c r="E183" s="510"/>
      <c r="F183" s="510"/>
      <c r="G183" s="509"/>
      <c r="H183" s="1071" t="str">
        <f>+'Anexo 1 Matriz Inf Gestión-GD'!A187</f>
        <v>3299.03.02 Verificación en campo por alertas identificadas en los informes</v>
      </c>
      <c r="I183" s="1072"/>
      <c r="J183" s="1072"/>
      <c r="K183" s="1072"/>
      <c r="L183" s="1072"/>
      <c r="M183" s="1072"/>
      <c r="N183" s="1072"/>
      <c r="O183" s="1072"/>
      <c r="P183" s="1072"/>
      <c r="Q183" s="1072"/>
      <c r="R183" s="1072"/>
      <c r="S183" s="1072"/>
      <c r="T183" s="1072"/>
      <c r="U183" s="1072"/>
      <c r="V183" s="1072"/>
      <c r="W183" s="1072"/>
      <c r="X183" s="1072"/>
      <c r="Y183" s="1072"/>
      <c r="Z183" s="1072"/>
      <c r="AA183" s="1072"/>
      <c r="AB183" s="1072"/>
      <c r="AC183" s="1072"/>
      <c r="AD183" s="1072"/>
      <c r="AE183" s="1072"/>
      <c r="AF183" s="1072"/>
      <c r="AG183" s="1072"/>
      <c r="AH183" s="1072"/>
      <c r="AI183" s="1072"/>
      <c r="AJ183" s="1072"/>
      <c r="AK183" s="1072"/>
      <c r="AL183" s="1072"/>
      <c r="AM183" s="1072"/>
      <c r="AN183" s="1072"/>
      <c r="AO183" s="1072"/>
      <c r="AP183" s="1072"/>
      <c r="AQ183" s="1072"/>
      <c r="AR183" s="1072"/>
      <c r="AS183" s="1072"/>
      <c r="AT183" s="1072"/>
      <c r="AU183" s="1072"/>
      <c r="AV183" s="1072"/>
      <c r="AW183" s="1072"/>
      <c r="AX183" s="1072"/>
      <c r="AY183" s="1072"/>
      <c r="AZ183" s="1072"/>
      <c r="BA183" s="1072"/>
      <c r="BB183" s="1072"/>
      <c r="BC183" s="1072"/>
      <c r="BD183" s="1072"/>
      <c r="BE183" s="1072"/>
      <c r="BF183" s="1072"/>
      <c r="BG183" s="1072"/>
      <c r="BH183" s="1072"/>
      <c r="BI183" s="1073">
        <f t="shared" si="660"/>
        <v>0</v>
      </c>
      <c r="BJ183" s="1073">
        <f t="shared" si="661"/>
        <v>0</v>
      </c>
      <c r="BK183" s="1073">
        <f t="shared" si="662"/>
        <v>0</v>
      </c>
      <c r="BL183" s="1073">
        <f t="shared" si="663"/>
        <v>0</v>
      </c>
      <c r="BM183" s="508"/>
    </row>
    <row r="184" spans="1:65" ht="27" thickTop="1" thickBot="1">
      <c r="A184" s="509"/>
      <c r="B184" s="509"/>
      <c r="C184" s="511"/>
      <c r="D184" s="511"/>
      <c r="E184" s="510"/>
      <c r="F184" s="510"/>
      <c r="G184" s="509"/>
      <c r="H184" s="1071" t="str">
        <f>+'Anexo 1 Matriz Inf Gestión-GD'!A188</f>
        <v xml:space="preserve">3299.03.03 Verificación en campo a los permisos, autorizaciones o licencias que no han cumplido con la presentación de informes </v>
      </c>
      <c r="I184" s="1072"/>
      <c r="J184" s="1072"/>
      <c r="K184" s="1072"/>
      <c r="L184" s="1072"/>
      <c r="M184" s="1072"/>
      <c r="N184" s="1072"/>
      <c r="O184" s="1072"/>
      <c r="P184" s="1072"/>
      <c r="Q184" s="1072"/>
      <c r="R184" s="1072"/>
      <c r="S184" s="1072"/>
      <c r="T184" s="1072"/>
      <c r="U184" s="1072"/>
      <c r="V184" s="1072"/>
      <c r="W184" s="1072"/>
      <c r="X184" s="1072"/>
      <c r="Y184" s="1072"/>
      <c r="Z184" s="1072"/>
      <c r="AA184" s="1072"/>
      <c r="AB184" s="1072"/>
      <c r="AC184" s="1072"/>
      <c r="AD184" s="1072"/>
      <c r="AE184" s="1072"/>
      <c r="AF184" s="1072"/>
      <c r="AG184" s="1072"/>
      <c r="AH184" s="1072"/>
      <c r="AI184" s="1072"/>
      <c r="AJ184" s="1072"/>
      <c r="AK184" s="1072"/>
      <c r="AL184" s="1072"/>
      <c r="AM184" s="1072"/>
      <c r="AN184" s="1072"/>
      <c r="AO184" s="1072"/>
      <c r="AP184" s="1072"/>
      <c r="AQ184" s="1072"/>
      <c r="AR184" s="1072"/>
      <c r="AS184" s="1072"/>
      <c r="AT184" s="1072"/>
      <c r="AU184" s="1072"/>
      <c r="AV184" s="1072"/>
      <c r="AW184" s="1072"/>
      <c r="AX184" s="1072"/>
      <c r="AY184" s="1072"/>
      <c r="AZ184" s="1072"/>
      <c r="BA184" s="1072"/>
      <c r="BB184" s="1072"/>
      <c r="BC184" s="1072"/>
      <c r="BD184" s="1072"/>
      <c r="BE184" s="1072"/>
      <c r="BF184" s="1072"/>
      <c r="BG184" s="1072"/>
      <c r="BH184" s="1072"/>
      <c r="BI184" s="1073">
        <f t="shared" si="660"/>
        <v>0</v>
      </c>
      <c r="BJ184" s="1073">
        <f t="shared" si="661"/>
        <v>0</v>
      </c>
      <c r="BK184" s="1073">
        <f t="shared" si="662"/>
        <v>0</v>
      </c>
      <c r="BL184" s="1073">
        <f t="shared" si="663"/>
        <v>0</v>
      </c>
      <c r="BM184" s="508"/>
    </row>
    <row r="185" spans="1:65" ht="27" thickTop="1" thickBot="1">
      <c r="A185" s="509"/>
      <c r="B185" s="509"/>
      <c r="C185" s="511"/>
      <c r="D185" s="511"/>
      <c r="E185" s="510"/>
      <c r="F185" s="510"/>
      <c r="G185" s="509"/>
      <c r="H185" s="1071" t="str">
        <f>+'Anexo 1 Matriz Inf Gestión-GD'!A189</f>
        <v>3299.03.04 Optimización integral de los procesos operativos de trámites ambientales otorgados por la Corporación</v>
      </c>
      <c r="I185" s="1072"/>
      <c r="J185" s="1072"/>
      <c r="K185" s="1072"/>
      <c r="L185" s="1072"/>
      <c r="M185" s="1072"/>
      <c r="N185" s="1072"/>
      <c r="O185" s="1072"/>
      <c r="P185" s="1072"/>
      <c r="Q185" s="1072"/>
      <c r="R185" s="1072"/>
      <c r="S185" s="1072"/>
      <c r="T185" s="1072"/>
      <c r="U185" s="1072"/>
      <c r="V185" s="1072"/>
      <c r="W185" s="1072"/>
      <c r="X185" s="1072"/>
      <c r="Y185" s="1072"/>
      <c r="Z185" s="1072"/>
      <c r="AA185" s="1072"/>
      <c r="AB185" s="1072"/>
      <c r="AC185" s="1072"/>
      <c r="AD185" s="1072"/>
      <c r="AE185" s="1072"/>
      <c r="AF185" s="1072"/>
      <c r="AG185" s="1072"/>
      <c r="AH185" s="1072"/>
      <c r="AI185" s="1072"/>
      <c r="AJ185" s="1072"/>
      <c r="AK185" s="1072"/>
      <c r="AL185" s="1072"/>
      <c r="AM185" s="1072"/>
      <c r="AN185" s="1072"/>
      <c r="AO185" s="1072"/>
      <c r="AP185" s="1072"/>
      <c r="AQ185" s="1072"/>
      <c r="AR185" s="1072"/>
      <c r="AS185" s="1072"/>
      <c r="AT185" s="1072"/>
      <c r="AU185" s="1072"/>
      <c r="AV185" s="1072"/>
      <c r="AW185" s="1072"/>
      <c r="AX185" s="1072"/>
      <c r="AY185" s="1072"/>
      <c r="AZ185" s="1072"/>
      <c r="BA185" s="1072"/>
      <c r="BB185" s="1072"/>
      <c r="BC185" s="1072"/>
      <c r="BD185" s="1072"/>
      <c r="BE185" s="1072"/>
      <c r="BF185" s="1072"/>
      <c r="BG185" s="1072"/>
      <c r="BH185" s="1072"/>
      <c r="BI185" s="1073">
        <f t="shared" si="660"/>
        <v>0</v>
      </c>
      <c r="BJ185" s="1073">
        <f t="shared" si="661"/>
        <v>0</v>
      </c>
      <c r="BK185" s="1073">
        <f t="shared" si="662"/>
        <v>0</v>
      </c>
      <c r="BL185" s="1073">
        <f t="shared" si="663"/>
        <v>0</v>
      </c>
      <c r="BM185" s="508"/>
    </row>
    <row r="186" spans="1:65" ht="52.5" thickTop="1" thickBot="1">
      <c r="A186" s="509"/>
      <c r="B186" s="509"/>
      <c r="C186" s="511"/>
      <c r="D186" s="511"/>
      <c r="E186" s="510"/>
      <c r="F186" s="510"/>
      <c r="G186" s="509"/>
      <c r="H186" s="1071" t="str">
        <f>+'Anexo 1 Matriz Inf Gestión-GD'!A190</f>
        <v>3299.03.05 Dotación, mantenimiento y/o calibración de equipos receptores del Sistema de posicionamiento global - GPS, molinetes, Drone, sonómetros, cámaras fotográficas, software/licencias (ArcGis) otras dotaciones institucionales (según requisitos definidos en la NTC ISO 9001:2015)</v>
      </c>
      <c r="I186" s="1072"/>
      <c r="J186" s="1072"/>
      <c r="K186" s="1072"/>
      <c r="L186" s="1072"/>
      <c r="M186" s="1072"/>
      <c r="N186" s="1072"/>
      <c r="O186" s="1072"/>
      <c r="P186" s="1072"/>
      <c r="Q186" s="1072"/>
      <c r="R186" s="1072"/>
      <c r="S186" s="1072"/>
      <c r="T186" s="1072"/>
      <c r="U186" s="1072"/>
      <c r="V186" s="1072"/>
      <c r="W186" s="1072"/>
      <c r="X186" s="1072"/>
      <c r="Y186" s="1072"/>
      <c r="Z186" s="1072"/>
      <c r="AA186" s="1072"/>
      <c r="AB186" s="1072"/>
      <c r="AC186" s="1072"/>
      <c r="AD186" s="1072"/>
      <c r="AE186" s="1072"/>
      <c r="AF186" s="1072"/>
      <c r="AG186" s="1072"/>
      <c r="AH186" s="1072"/>
      <c r="AI186" s="1072"/>
      <c r="AJ186" s="1072"/>
      <c r="AK186" s="1072"/>
      <c r="AL186" s="1072"/>
      <c r="AM186" s="1072"/>
      <c r="AN186" s="1072"/>
      <c r="AO186" s="1072"/>
      <c r="AP186" s="1072"/>
      <c r="AQ186" s="1072"/>
      <c r="AR186" s="1072"/>
      <c r="AS186" s="1072"/>
      <c r="AT186" s="1072"/>
      <c r="AU186" s="1072"/>
      <c r="AV186" s="1072"/>
      <c r="AW186" s="1072"/>
      <c r="AX186" s="1072"/>
      <c r="AY186" s="1072"/>
      <c r="AZ186" s="1072"/>
      <c r="BA186" s="1072"/>
      <c r="BB186" s="1072"/>
      <c r="BC186" s="1072"/>
      <c r="BD186" s="1072"/>
      <c r="BE186" s="1072"/>
      <c r="BF186" s="1072"/>
      <c r="BG186" s="1072"/>
      <c r="BH186" s="1072"/>
      <c r="BI186" s="1073">
        <f t="shared" si="660"/>
        <v>0</v>
      </c>
      <c r="BJ186" s="1073">
        <f t="shared" si="661"/>
        <v>0</v>
      </c>
      <c r="BK186" s="1073">
        <f t="shared" si="662"/>
        <v>0</v>
      </c>
      <c r="BL186" s="1073">
        <f t="shared" si="663"/>
        <v>0</v>
      </c>
      <c r="BM186" s="508"/>
    </row>
    <row r="187" spans="1:65" ht="27" thickTop="1" thickBot="1">
      <c r="A187" s="509"/>
      <c r="B187" s="509"/>
      <c r="C187" s="511"/>
      <c r="D187" s="511"/>
      <c r="E187" s="510"/>
      <c r="F187" s="510"/>
      <c r="G187" s="509"/>
      <c r="H187" s="1071" t="str">
        <f>+'Anexo 1 Matriz Inf Gestión-GD'!A191</f>
        <v>3299.03.06 Implementación efectiva del sistema VITAL-SILAM, SUIT para la optimización de los trámites ambientales</v>
      </c>
      <c r="I187" s="1072"/>
      <c r="J187" s="1072"/>
      <c r="K187" s="1072"/>
      <c r="L187" s="1072"/>
      <c r="M187" s="1072"/>
      <c r="N187" s="1072"/>
      <c r="O187" s="1072"/>
      <c r="P187" s="1072"/>
      <c r="Q187" s="1072"/>
      <c r="R187" s="1072"/>
      <c r="S187" s="1072"/>
      <c r="T187" s="1072"/>
      <c r="U187" s="1072"/>
      <c r="V187" s="1072"/>
      <c r="W187" s="1072"/>
      <c r="X187" s="1072"/>
      <c r="Y187" s="1072"/>
      <c r="Z187" s="1072"/>
      <c r="AA187" s="1072"/>
      <c r="AB187" s="1072"/>
      <c r="AC187" s="1072"/>
      <c r="AD187" s="1072"/>
      <c r="AE187" s="1072"/>
      <c r="AF187" s="1072"/>
      <c r="AG187" s="1072"/>
      <c r="AH187" s="1072"/>
      <c r="AI187" s="1072"/>
      <c r="AJ187" s="1072"/>
      <c r="AK187" s="1072"/>
      <c r="AL187" s="1072"/>
      <c r="AM187" s="1072"/>
      <c r="AN187" s="1072"/>
      <c r="AO187" s="1072"/>
      <c r="AP187" s="1072"/>
      <c r="AQ187" s="1072"/>
      <c r="AR187" s="1072"/>
      <c r="AS187" s="1072"/>
      <c r="AT187" s="1072"/>
      <c r="AU187" s="1072"/>
      <c r="AV187" s="1072"/>
      <c r="AW187" s="1072"/>
      <c r="AX187" s="1072"/>
      <c r="AY187" s="1072"/>
      <c r="AZ187" s="1072"/>
      <c r="BA187" s="1072"/>
      <c r="BB187" s="1072"/>
      <c r="BC187" s="1072"/>
      <c r="BD187" s="1072"/>
      <c r="BE187" s="1072"/>
      <c r="BF187" s="1072"/>
      <c r="BG187" s="1072"/>
      <c r="BH187" s="1072"/>
      <c r="BI187" s="1073">
        <f t="shared" si="660"/>
        <v>0</v>
      </c>
      <c r="BJ187" s="1073">
        <f t="shared" si="661"/>
        <v>0</v>
      </c>
      <c r="BK187" s="1073">
        <f t="shared" si="662"/>
        <v>0</v>
      </c>
      <c r="BL187" s="1073">
        <f t="shared" si="663"/>
        <v>0</v>
      </c>
      <c r="BM187" s="508"/>
    </row>
    <row r="188" spans="1:65" ht="16.5" thickTop="1" thickBot="1">
      <c r="A188" s="509"/>
      <c r="B188" s="509"/>
      <c r="C188" s="511"/>
      <c r="D188" s="511"/>
      <c r="E188" s="510"/>
      <c r="F188" s="510"/>
      <c r="G188" s="509"/>
      <c r="H188" s="1071" t="str">
        <f>+'Anexo 1 Matriz Inf Gestión-GD'!A192</f>
        <v>3299.03.07 Actualización de la base de datos de los procesos sancionatorios</v>
      </c>
      <c r="I188" s="1072"/>
      <c r="J188" s="1072"/>
      <c r="K188" s="1072"/>
      <c r="L188" s="1072"/>
      <c r="M188" s="1072"/>
      <c r="N188" s="1072"/>
      <c r="O188" s="1072"/>
      <c r="P188" s="1072"/>
      <c r="Q188" s="1072"/>
      <c r="R188" s="1072"/>
      <c r="S188" s="1072"/>
      <c r="T188" s="1072"/>
      <c r="U188" s="1072"/>
      <c r="V188" s="1072"/>
      <c r="W188" s="1072"/>
      <c r="X188" s="1072"/>
      <c r="Y188" s="1072"/>
      <c r="Z188" s="1072"/>
      <c r="AA188" s="1072"/>
      <c r="AB188" s="1072"/>
      <c r="AC188" s="1072"/>
      <c r="AD188" s="1072"/>
      <c r="AE188" s="1072"/>
      <c r="AF188" s="1072"/>
      <c r="AG188" s="1072"/>
      <c r="AH188" s="1072"/>
      <c r="AI188" s="1072"/>
      <c r="AJ188" s="1072"/>
      <c r="AK188" s="1072"/>
      <c r="AL188" s="1072"/>
      <c r="AM188" s="1072"/>
      <c r="AN188" s="1072"/>
      <c r="AO188" s="1072"/>
      <c r="AP188" s="1072"/>
      <c r="AQ188" s="1072"/>
      <c r="AR188" s="1072"/>
      <c r="AS188" s="1072"/>
      <c r="AT188" s="1072"/>
      <c r="AU188" s="1072"/>
      <c r="AV188" s="1072"/>
      <c r="AW188" s="1072"/>
      <c r="AX188" s="1072"/>
      <c r="AY188" s="1072"/>
      <c r="AZ188" s="1072"/>
      <c r="BA188" s="1072"/>
      <c r="BB188" s="1072"/>
      <c r="BC188" s="1072"/>
      <c r="BD188" s="1072"/>
      <c r="BE188" s="1072"/>
      <c r="BF188" s="1072"/>
      <c r="BG188" s="1072"/>
      <c r="BH188" s="1072"/>
      <c r="BI188" s="1073">
        <f t="shared" si="660"/>
        <v>0</v>
      </c>
      <c r="BJ188" s="1073">
        <f t="shared" si="661"/>
        <v>0</v>
      </c>
      <c r="BK188" s="1073">
        <f t="shared" si="662"/>
        <v>0</v>
      </c>
      <c r="BL188" s="1073">
        <f t="shared" si="663"/>
        <v>0</v>
      </c>
      <c r="BM188" s="508"/>
    </row>
    <row r="189" spans="1:65" ht="52.5" thickTop="1" thickBot="1">
      <c r="A189" s="1066"/>
      <c r="B189" s="1066"/>
      <c r="C189" s="1066"/>
      <c r="D189" s="1066"/>
      <c r="E189" s="1077"/>
      <c r="F189" s="1077"/>
      <c r="G189" s="1078"/>
      <c r="H189" s="1067" t="str">
        <f>+'Anexo 1 Matriz Inf Gestión-GD'!A193</f>
        <v>Proyecto 3299.04  Implementación de estrategias para el manejo ambiental en territorios indígenas de la Sierra Nevada de Santa Marta y Serranía de Perijá,   incorporando la cosmovisión de los pueblos indígenas  y  el enfoque diferencial en la restauración ecológica integral .</v>
      </c>
      <c r="I189" s="1068">
        <f>SUM(I190:I196)</f>
        <v>0</v>
      </c>
      <c r="J189" s="1068">
        <f t="shared" ref="J189:AL189" si="894">SUM(J190:J196)</f>
        <v>0</v>
      </c>
      <c r="K189" s="1068">
        <f t="shared" si="894"/>
        <v>0</v>
      </c>
      <c r="L189" s="1068">
        <f t="shared" si="894"/>
        <v>0</v>
      </c>
      <c r="M189" s="1068">
        <f t="shared" si="894"/>
        <v>0</v>
      </c>
      <c r="N189" s="1068">
        <f t="shared" si="894"/>
        <v>0</v>
      </c>
      <c r="O189" s="1068">
        <f t="shared" si="894"/>
        <v>0</v>
      </c>
      <c r="P189" s="1068">
        <f t="shared" si="894"/>
        <v>0</v>
      </c>
      <c r="Q189" s="1068">
        <f t="shared" si="894"/>
        <v>0</v>
      </c>
      <c r="R189" s="1068">
        <f t="shared" si="894"/>
        <v>0</v>
      </c>
      <c r="S189" s="1068">
        <f t="shared" si="894"/>
        <v>0</v>
      </c>
      <c r="T189" s="1068">
        <f t="shared" si="894"/>
        <v>0</v>
      </c>
      <c r="U189" s="1068">
        <f t="shared" si="894"/>
        <v>0</v>
      </c>
      <c r="V189" s="1068">
        <f t="shared" si="894"/>
        <v>0</v>
      </c>
      <c r="W189" s="1068">
        <f t="shared" si="894"/>
        <v>0</v>
      </c>
      <c r="X189" s="1068">
        <f t="shared" si="894"/>
        <v>0</v>
      </c>
      <c r="Y189" s="1068">
        <f t="shared" si="894"/>
        <v>0</v>
      </c>
      <c r="Z189" s="1068">
        <f t="shared" si="894"/>
        <v>0</v>
      </c>
      <c r="AA189" s="1068">
        <f t="shared" si="894"/>
        <v>0</v>
      </c>
      <c r="AB189" s="1068">
        <f t="shared" si="894"/>
        <v>0</v>
      </c>
      <c r="AC189" s="1068">
        <f t="shared" si="894"/>
        <v>0</v>
      </c>
      <c r="AD189" s="1068">
        <f t="shared" si="894"/>
        <v>0</v>
      </c>
      <c r="AE189" s="1068">
        <f t="shared" si="894"/>
        <v>0</v>
      </c>
      <c r="AF189" s="1068">
        <f t="shared" si="894"/>
        <v>0</v>
      </c>
      <c r="AG189" s="1068">
        <f t="shared" si="894"/>
        <v>0</v>
      </c>
      <c r="AH189" s="1068">
        <f t="shared" si="894"/>
        <v>0</v>
      </c>
      <c r="AI189" s="1068">
        <f t="shared" si="894"/>
        <v>0</v>
      </c>
      <c r="AJ189" s="1068">
        <f t="shared" si="894"/>
        <v>0</v>
      </c>
      <c r="AK189" s="1068">
        <f t="shared" si="894"/>
        <v>0</v>
      </c>
      <c r="AL189" s="1068">
        <f t="shared" si="894"/>
        <v>0</v>
      </c>
      <c r="AM189" s="1068">
        <f t="shared" ref="AM189" si="895">SUM(AM190:AM196)</f>
        <v>0</v>
      </c>
      <c r="AN189" s="1068">
        <f t="shared" ref="AN189" si="896">SUM(AN190:AN196)</f>
        <v>0</v>
      </c>
      <c r="AO189" s="1068">
        <f t="shared" ref="AO189" si="897">SUM(AO190:AO196)</f>
        <v>0</v>
      </c>
      <c r="AP189" s="1068">
        <f t="shared" ref="AP189" si="898">SUM(AP190:AP196)</f>
        <v>0</v>
      </c>
      <c r="AQ189" s="1068">
        <f t="shared" ref="AQ189" si="899">SUM(AQ190:AQ196)</f>
        <v>0</v>
      </c>
      <c r="AR189" s="1068">
        <f t="shared" ref="AR189" si="900">SUM(AR190:AR196)</f>
        <v>0</v>
      </c>
      <c r="AS189" s="1068">
        <f t="shared" ref="AS189" si="901">SUM(AS190:AS196)</f>
        <v>0</v>
      </c>
      <c r="AT189" s="1068">
        <f t="shared" ref="AT189" si="902">SUM(AT190:AT196)</f>
        <v>0</v>
      </c>
      <c r="AU189" s="1068">
        <f t="shared" ref="AU189" si="903">SUM(AU190:AU196)</f>
        <v>0</v>
      </c>
      <c r="AV189" s="1068">
        <f t="shared" ref="AV189" si="904">SUM(AV190:AV196)</f>
        <v>0</v>
      </c>
      <c r="AW189" s="1068">
        <f t="shared" ref="AW189" si="905">SUM(AW190:AW196)</f>
        <v>0</v>
      </c>
      <c r="AX189" s="1068">
        <f t="shared" ref="AX189" si="906">SUM(AX190:AX196)</f>
        <v>0</v>
      </c>
      <c r="AY189" s="1068">
        <f t="shared" ref="AY189" si="907">SUM(AY190:AY196)</f>
        <v>0</v>
      </c>
      <c r="AZ189" s="1068">
        <f t="shared" ref="AZ189" si="908">SUM(AZ190:AZ196)</f>
        <v>0</v>
      </c>
      <c r="BA189" s="1068">
        <f t="shared" ref="BA189" si="909">SUM(BA190:BA196)</f>
        <v>0</v>
      </c>
      <c r="BB189" s="1068">
        <f t="shared" ref="BB189" si="910">SUM(BB190:BB196)</f>
        <v>0</v>
      </c>
      <c r="BC189" s="1068">
        <f t="shared" ref="BC189" si="911">SUM(BC190:BC196)</f>
        <v>0</v>
      </c>
      <c r="BD189" s="1068">
        <f t="shared" ref="BD189" si="912">SUM(BD190:BD196)</f>
        <v>0</v>
      </c>
      <c r="BE189" s="1068">
        <f t="shared" ref="BE189" si="913">SUM(BE190:BE196)</f>
        <v>0</v>
      </c>
      <c r="BF189" s="1068">
        <f t="shared" ref="BF189" si="914">SUM(BF190:BF196)</f>
        <v>0</v>
      </c>
      <c r="BG189" s="1068">
        <f t="shared" ref="BG189" si="915">SUM(BG190:BG196)</f>
        <v>0</v>
      </c>
      <c r="BH189" s="1068">
        <f t="shared" ref="BH189" si="916">SUM(BH190:BH196)</f>
        <v>0</v>
      </c>
      <c r="BI189" s="1069">
        <f t="shared" si="660"/>
        <v>0</v>
      </c>
      <c r="BJ189" s="1069">
        <f t="shared" si="661"/>
        <v>0</v>
      </c>
      <c r="BK189" s="1069">
        <f t="shared" si="662"/>
        <v>0</v>
      </c>
      <c r="BL189" s="1069">
        <f t="shared" si="663"/>
        <v>0</v>
      </c>
      <c r="BM189" s="1070"/>
    </row>
    <row r="190" spans="1:65" ht="52.5" thickTop="1" thickBot="1">
      <c r="A190" s="509"/>
      <c r="B190" s="509"/>
      <c r="C190" s="511"/>
      <c r="D190" s="511"/>
      <c r="E190" s="510"/>
      <c r="F190" s="510"/>
      <c r="G190" s="509"/>
      <c r="H190" s="1071" t="str">
        <f>+'Anexo 1 Matriz Inf Gestión-GD'!A194</f>
        <v>3299.04.01 Implementación de proyectos agroforestales como alternativa de sostenibilidad ambeintal para el optimo aprovechamiento y/o uso del suelo, y que favorezcan las condiciones alimentarias de subsistencia de las comunidades indigenas en el marco del pacto por los grupos etnicos del PND 2018-2022</v>
      </c>
      <c r="I190" s="1072"/>
      <c r="J190" s="1072"/>
      <c r="K190" s="1072"/>
      <c r="L190" s="1072"/>
      <c r="M190" s="1072"/>
      <c r="N190" s="1072"/>
      <c r="O190" s="1072"/>
      <c r="P190" s="1072"/>
      <c r="Q190" s="1072"/>
      <c r="R190" s="1072"/>
      <c r="S190" s="1072"/>
      <c r="T190" s="1072"/>
      <c r="U190" s="1072"/>
      <c r="V190" s="1072"/>
      <c r="W190" s="1072"/>
      <c r="X190" s="1072"/>
      <c r="Y190" s="1072"/>
      <c r="Z190" s="1072"/>
      <c r="AA190" s="1072"/>
      <c r="AB190" s="1072"/>
      <c r="AC190" s="1072"/>
      <c r="AD190" s="1072"/>
      <c r="AE190" s="1072"/>
      <c r="AF190" s="1072"/>
      <c r="AG190" s="1072"/>
      <c r="AH190" s="1072"/>
      <c r="AI190" s="1072"/>
      <c r="AJ190" s="1072"/>
      <c r="AK190" s="1072"/>
      <c r="AL190" s="1072"/>
      <c r="AM190" s="1072"/>
      <c r="AN190" s="1072"/>
      <c r="AO190" s="1072"/>
      <c r="AP190" s="1072"/>
      <c r="AQ190" s="1072"/>
      <c r="AR190" s="1072"/>
      <c r="AS190" s="1072"/>
      <c r="AT190" s="1072"/>
      <c r="AU190" s="1072"/>
      <c r="AV190" s="1072"/>
      <c r="AW190" s="1072"/>
      <c r="AX190" s="1072"/>
      <c r="AY190" s="1072"/>
      <c r="AZ190" s="1072"/>
      <c r="BA190" s="1072"/>
      <c r="BB190" s="1072"/>
      <c r="BC190" s="1072"/>
      <c r="BD190" s="1072"/>
      <c r="BE190" s="1072"/>
      <c r="BF190" s="1072"/>
      <c r="BG190" s="1072"/>
      <c r="BH190" s="1072"/>
      <c r="BI190" s="1073">
        <f t="shared" si="660"/>
        <v>0</v>
      </c>
      <c r="BJ190" s="1073">
        <f t="shared" si="661"/>
        <v>0</v>
      </c>
      <c r="BK190" s="1073">
        <f t="shared" si="662"/>
        <v>0</v>
      </c>
      <c r="BL190" s="1073">
        <f t="shared" si="663"/>
        <v>0</v>
      </c>
      <c r="BM190" s="508"/>
    </row>
    <row r="191" spans="1:65" ht="27" thickTop="1" thickBot="1">
      <c r="A191" s="509"/>
      <c r="B191" s="509"/>
      <c r="C191" s="511"/>
      <c r="D191" s="511"/>
      <c r="E191" s="510"/>
      <c r="F191" s="510"/>
      <c r="G191" s="509"/>
      <c r="H191" s="1071" t="str">
        <f>+'Anexo 1 Matriz Inf Gestión-GD'!A195</f>
        <v>3299.04.04 Desarrollo de escenario de gobernanza con grupos étnicos para la gestión de estrategias de Prevención de conflictos socioambientales.</v>
      </c>
      <c r="I191" s="1072"/>
      <c r="J191" s="1072"/>
      <c r="K191" s="1072"/>
      <c r="L191" s="1072"/>
      <c r="M191" s="1072"/>
      <c r="N191" s="1072"/>
      <c r="O191" s="1072"/>
      <c r="P191" s="1072"/>
      <c r="Q191" s="1072"/>
      <c r="R191" s="1072"/>
      <c r="S191" s="1072"/>
      <c r="T191" s="1072"/>
      <c r="U191" s="1072"/>
      <c r="V191" s="1072"/>
      <c r="W191" s="1072"/>
      <c r="X191" s="1072"/>
      <c r="Y191" s="1072"/>
      <c r="Z191" s="1072"/>
      <c r="AA191" s="1072"/>
      <c r="AB191" s="1072"/>
      <c r="AC191" s="1072"/>
      <c r="AD191" s="1072"/>
      <c r="AE191" s="1072"/>
      <c r="AF191" s="1072"/>
      <c r="AG191" s="1072"/>
      <c r="AH191" s="1072"/>
      <c r="AI191" s="1072"/>
      <c r="AJ191" s="1072"/>
      <c r="AK191" s="1072"/>
      <c r="AL191" s="1072"/>
      <c r="AM191" s="1072"/>
      <c r="AN191" s="1072"/>
      <c r="AO191" s="1072"/>
      <c r="AP191" s="1072"/>
      <c r="AQ191" s="1072"/>
      <c r="AR191" s="1072"/>
      <c r="AS191" s="1072"/>
      <c r="AT191" s="1072"/>
      <c r="AU191" s="1072"/>
      <c r="AV191" s="1072"/>
      <c r="AW191" s="1072"/>
      <c r="AX191" s="1072"/>
      <c r="AY191" s="1072"/>
      <c r="AZ191" s="1072"/>
      <c r="BA191" s="1072"/>
      <c r="BB191" s="1072"/>
      <c r="BC191" s="1072"/>
      <c r="BD191" s="1072"/>
      <c r="BE191" s="1072"/>
      <c r="BF191" s="1072"/>
      <c r="BG191" s="1072"/>
      <c r="BH191" s="1072"/>
      <c r="BI191" s="1073">
        <f t="shared" si="660"/>
        <v>0</v>
      </c>
      <c r="BJ191" s="1073">
        <f t="shared" si="661"/>
        <v>0</v>
      </c>
      <c r="BK191" s="1073">
        <f t="shared" si="662"/>
        <v>0</v>
      </c>
      <c r="BL191" s="1073">
        <f t="shared" si="663"/>
        <v>0</v>
      </c>
      <c r="BM191" s="508"/>
    </row>
    <row r="192" spans="1:65" ht="65.25" thickTop="1" thickBot="1">
      <c r="A192" s="509"/>
      <c r="B192" s="509"/>
      <c r="C192" s="511"/>
      <c r="D192" s="511"/>
      <c r="E192" s="510"/>
      <c r="F192" s="510"/>
      <c r="G192" s="509"/>
      <c r="H192" s="1071" t="str">
        <f>+'Anexo 1 Matriz Inf Gestión-GD'!A196</f>
        <v xml:space="preserve">3299.04.06 Gestión, apoyo de acciones de aislamiento de áreas de interés ambiental y cultural, para inducir su recuperación natural. Y OTRAS ESTRATEGIAS para la restauración ecológica de Ecosistemas en el marco del componente programático de los POMCAS y del componente estratégico de los PMA de las áreas protegidas declaradas </v>
      </c>
      <c r="I192" s="1072"/>
      <c r="J192" s="1072"/>
      <c r="K192" s="1072"/>
      <c r="L192" s="1072"/>
      <c r="M192" s="1072"/>
      <c r="N192" s="1072"/>
      <c r="O192" s="1072"/>
      <c r="P192" s="1072"/>
      <c r="Q192" s="1072"/>
      <c r="R192" s="1072"/>
      <c r="S192" s="1072"/>
      <c r="T192" s="1072"/>
      <c r="U192" s="1072"/>
      <c r="V192" s="1072"/>
      <c r="W192" s="1072"/>
      <c r="X192" s="1072"/>
      <c r="Y192" s="1072"/>
      <c r="Z192" s="1072"/>
      <c r="AA192" s="1072"/>
      <c r="AB192" s="1072"/>
      <c r="AC192" s="1072"/>
      <c r="AD192" s="1072"/>
      <c r="AE192" s="1072"/>
      <c r="AF192" s="1072"/>
      <c r="AG192" s="1072"/>
      <c r="AH192" s="1072"/>
      <c r="AI192" s="1072"/>
      <c r="AJ192" s="1072"/>
      <c r="AK192" s="1072"/>
      <c r="AL192" s="1072"/>
      <c r="AM192" s="1072"/>
      <c r="AN192" s="1072"/>
      <c r="AO192" s="1072"/>
      <c r="AP192" s="1072"/>
      <c r="AQ192" s="1072"/>
      <c r="AR192" s="1072"/>
      <c r="AS192" s="1072"/>
      <c r="AT192" s="1072"/>
      <c r="AU192" s="1072"/>
      <c r="AV192" s="1072"/>
      <c r="AW192" s="1072"/>
      <c r="AX192" s="1072"/>
      <c r="AY192" s="1072"/>
      <c r="AZ192" s="1072"/>
      <c r="BA192" s="1072"/>
      <c r="BB192" s="1072"/>
      <c r="BC192" s="1072"/>
      <c r="BD192" s="1072"/>
      <c r="BE192" s="1072"/>
      <c r="BF192" s="1072"/>
      <c r="BG192" s="1072"/>
      <c r="BH192" s="1072"/>
      <c r="BI192" s="1073">
        <f t="shared" si="660"/>
        <v>0</v>
      </c>
      <c r="BJ192" s="1073">
        <f t="shared" si="661"/>
        <v>0</v>
      </c>
      <c r="BK192" s="1073">
        <f t="shared" si="662"/>
        <v>0</v>
      </c>
      <c r="BL192" s="1073">
        <f t="shared" si="663"/>
        <v>0</v>
      </c>
      <c r="BM192" s="508"/>
    </row>
    <row r="193" spans="1:65" ht="27" thickTop="1" thickBot="1">
      <c r="A193" s="509"/>
      <c r="B193" s="509"/>
      <c r="C193" s="511"/>
      <c r="D193" s="511"/>
      <c r="E193" s="510"/>
      <c r="F193" s="510"/>
      <c r="G193" s="509"/>
      <c r="H193" s="1071" t="str">
        <f>+'Anexo 1 Matriz Inf Gestión-GD'!A197</f>
        <v>3299.04.07 Apoyo para la determinación de línea base socioambiental en asentamientos indígenas para fundamentar procesos geopolíticos en la Serranía del Perijá</v>
      </c>
      <c r="I193" s="1072"/>
      <c r="J193" s="1072"/>
      <c r="K193" s="1072"/>
      <c r="L193" s="1072"/>
      <c r="M193" s="1072"/>
      <c r="N193" s="1072"/>
      <c r="O193" s="1072"/>
      <c r="P193" s="1072"/>
      <c r="Q193" s="1072"/>
      <c r="R193" s="1072"/>
      <c r="S193" s="1072"/>
      <c r="T193" s="1072"/>
      <c r="U193" s="1072"/>
      <c r="V193" s="1072"/>
      <c r="W193" s="1072"/>
      <c r="X193" s="1072"/>
      <c r="Y193" s="1072"/>
      <c r="Z193" s="1072"/>
      <c r="AA193" s="1072"/>
      <c r="AB193" s="1072"/>
      <c r="AC193" s="1072"/>
      <c r="AD193" s="1072"/>
      <c r="AE193" s="1072"/>
      <c r="AF193" s="1072"/>
      <c r="AG193" s="1072"/>
      <c r="AH193" s="1072"/>
      <c r="AI193" s="1072"/>
      <c r="AJ193" s="1072"/>
      <c r="AK193" s="1072"/>
      <c r="AL193" s="1072"/>
      <c r="AM193" s="1072"/>
      <c r="AN193" s="1072"/>
      <c r="AO193" s="1072"/>
      <c r="AP193" s="1072"/>
      <c r="AQ193" s="1072"/>
      <c r="AR193" s="1072"/>
      <c r="AS193" s="1072"/>
      <c r="AT193" s="1072"/>
      <c r="AU193" s="1072"/>
      <c r="AV193" s="1072"/>
      <c r="AW193" s="1072"/>
      <c r="AX193" s="1072"/>
      <c r="AY193" s="1072"/>
      <c r="AZ193" s="1072"/>
      <c r="BA193" s="1072"/>
      <c r="BB193" s="1072"/>
      <c r="BC193" s="1072"/>
      <c r="BD193" s="1072"/>
      <c r="BE193" s="1072"/>
      <c r="BF193" s="1072"/>
      <c r="BG193" s="1072"/>
      <c r="BH193" s="1072"/>
      <c r="BI193" s="1073">
        <f t="shared" si="660"/>
        <v>0</v>
      </c>
      <c r="BJ193" s="1073">
        <f t="shared" si="661"/>
        <v>0</v>
      </c>
      <c r="BK193" s="1073">
        <f t="shared" si="662"/>
        <v>0</v>
      </c>
      <c r="BL193" s="1073">
        <f t="shared" si="663"/>
        <v>0</v>
      </c>
      <c r="BM193" s="508"/>
    </row>
    <row r="194" spans="1:65" ht="39.75" thickTop="1" thickBot="1">
      <c r="A194" s="509"/>
      <c r="B194" s="509"/>
      <c r="C194" s="511"/>
      <c r="D194" s="511"/>
      <c r="E194" s="510"/>
      <c r="F194" s="510"/>
      <c r="G194" s="509"/>
      <c r="H194" s="1071" t="str">
        <f>+'Anexo 1 Matriz Inf Gestión-GD'!A198</f>
        <v>3299.04.02 Gestión, coordinación y evaluación al cumplimiento y materialización de acuerdos pactados mediante protocolización de consultas previas, en el marco de los POMCA adoptados, según responsabilidades de los consejos de cuencas.</v>
      </c>
      <c r="I194" s="1072"/>
      <c r="J194" s="1072"/>
      <c r="K194" s="1072"/>
      <c r="L194" s="1072"/>
      <c r="M194" s="1072"/>
      <c r="N194" s="1072"/>
      <c r="O194" s="1072"/>
      <c r="P194" s="1072"/>
      <c r="Q194" s="1072"/>
      <c r="R194" s="1072"/>
      <c r="S194" s="1072"/>
      <c r="T194" s="1072"/>
      <c r="U194" s="1072"/>
      <c r="V194" s="1072"/>
      <c r="W194" s="1072"/>
      <c r="X194" s="1072"/>
      <c r="Y194" s="1072"/>
      <c r="Z194" s="1072"/>
      <c r="AA194" s="1072"/>
      <c r="AB194" s="1072"/>
      <c r="AC194" s="1072"/>
      <c r="AD194" s="1072"/>
      <c r="AE194" s="1072"/>
      <c r="AF194" s="1072"/>
      <c r="AG194" s="1072"/>
      <c r="AH194" s="1072"/>
      <c r="AI194" s="1072"/>
      <c r="AJ194" s="1072"/>
      <c r="AK194" s="1072"/>
      <c r="AL194" s="1072"/>
      <c r="AM194" s="1072"/>
      <c r="AN194" s="1072"/>
      <c r="AO194" s="1072"/>
      <c r="AP194" s="1072"/>
      <c r="AQ194" s="1072"/>
      <c r="AR194" s="1072"/>
      <c r="AS194" s="1072"/>
      <c r="AT194" s="1072"/>
      <c r="AU194" s="1072"/>
      <c r="AV194" s="1072"/>
      <c r="AW194" s="1072"/>
      <c r="AX194" s="1072"/>
      <c r="AY194" s="1072"/>
      <c r="AZ194" s="1072"/>
      <c r="BA194" s="1072"/>
      <c r="BB194" s="1072"/>
      <c r="BC194" s="1072"/>
      <c r="BD194" s="1072"/>
      <c r="BE194" s="1072"/>
      <c r="BF194" s="1072"/>
      <c r="BG194" s="1072"/>
      <c r="BH194" s="1072"/>
      <c r="BI194" s="1073">
        <f t="shared" si="660"/>
        <v>0</v>
      </c>
      <c r="BJ194" s="1073">
        <f t="shared" si="661"/>
        <v>0</v>
      </c>
      <c r="BK194" s="1073">
        <f t="shared" si="662"/>
        <v>0</v>
      </c>
      <c r="BL194" s="1073">
        <f t="shared" si="663"/>
        <v>0</v>
      </c>
      <c r="BM194" s="508"/>
    </row>
    <row r="195" spans="1:65" ht="39.75" thickTop="1" thickBot="1">
      <c r="A195" s="509"/>
      <c r="B195" s="509"/>
      <c r="C195" s="511"/>
      <c r="D195" s="511"/>
      <c r="E195" s="510"/>
      <c r="F195" s="510"/>
      <c r="G195" s="509"/>
      <c r="H195" s="1071" t="str">
        <f>+'Anexo 1 Matriz Inf Gestión-GD'!A199</f>
        <v>3299.04.03 Identificación de oportunidades y necesidades de gestión del cambio climático en territorios étnicos para la implementación de acciones de manejo conjuntas con enfoque diferencial.</v>
      </c>
      <c r="I195" s="1072"/>
      <c r="J195" s="1072"/>
      <c r="K195" s="1072"/>
      <c r="L195" s="1072"/>
      <c r="M195" s="1072"/>
      <c r="N195" s="1072"/>
      <c r="O195" s="1072"/>
      <c r="P195" s="1072"/>
      <c r="Q195" s="1072"/>
      <c r="R195" s="1072"/>
      <c r="S195" s="1072"/>
      <c r="T195" s="1072"/>
      <c r="U195" s="1072"/>
      <c r="V195" s="1072"/>
      <c r="W195" s="1072"/>
      <c r="X195" s="1072"/>
      <c r="Y195" s="1072"/>
      <c r="Z195" s="1072"/>
      <c r="AA195" s="1072"/>
      <c r="AB195" s="1072"/>
      <c r="AC195" s="1072"/>
      <c r="AD195" s="1072"/>
      <c r="AE195" s="1072"/>
      <c r="AF195" s="1072"/>
      <c r="AG195" s="1072"/>
      <c r="AH195" s="1072"/>
      <c r="AI195" s="1072"/>
      <c r="AJ195" s="1072"/>
      <c r="AK195" s="1072"/>
      <c r="AL195" s="1072"/>
      <c r="AM195" s="1072"/>
      <c r="AN195" s="1072"/>
      <c r="AO195" s="1072"/>
      <c r="AP195" s="1072"/>
      <c r="AQ195" s="1072"/>
      <c r="AR195" s="1072"/>
      <c r="AS195" s="1072"/>
      <c r="AT195" s="1072"/>
      <c r="AU195" s="1072"/>
      <c r="AV195" s="1072"/>
      <c r="AW195" s="1072"/>
      <c r="AX195" s="1072"/>
      <c r="AY195" s="1072"/>
      <c r="AZ195" s="1072"/>
      <c r="BA195" s="1072"/>
      <c r="BB195" s="1072"/>
      <c r="BC195" s="1072"/>
      <c r="BD195" s="1072"/>
      <c r="BE195" s="1072"/>
      <c r="BF195" s="1072"/>
      <c r="BG195" s="1072"/>
      <c r="BH195" s="1072"/>
      <c r="BI195" s="1073">
        <f t="shared" si="660"/>
        <v>0</v>
      </c>
      <c r="BJ195" s="1073">
        <f t="shared" si="661"/>
        <v>0</v>
      </c>
      <c r="BK195" s="1073">
        <f t="shared" si="662"/>
        <v>0</v>
      </c>
      <c r="BL195" s="1073">
        <f t="shared" si="663"/>
        <v>0</v>
      </c>
      <c r="BM195" s="508"/>
    </row>
    <row r="196" spans="1:65" ht="39.75" thickTop="1" thickBot="1">
      <c r="A196" s="509"/>
      <c r="B196" s="509"/>
      <c r="C196" s="511"/>
      <c r="D196" s="511"/>
      <c r="E196" s="510"/>
      <c r="F196" s="510"/>
      <c r="G196" s="509"/>
      <c r="H196" s="1071" t="str">
        <f>+'Anexo 1 Matriz Inf Gestión-GD'!A200</f>
        <v>3299.04.05 Gestion, y apoyo y/o Construcción de sistemas de abastecimiento de agua, de manejo integral de residuos y de saneamiento básico (baterías sanitarias) en asentamientos de comunidades indígenas.</v>
      </c>
      <c r="I196" s="1072"/>
      <c r="J196" s="1072"/>
      <c r="K196" s="1072"/>
      <c r="L196" s="1072"/>
      <c r="M196" s="1072"/>
      <c r="N196" s="1072"/>
      <c r="O196" s="1072"/>
      <c r="P196" s="1072"/>
      <c r="Q196" s="1072"/>
      <c r="R196" s="1072"/>
      <c r="S196" s="1072"/>
      <c r="T196" s="1072"/>
      <c r="U196" s="1072"/>
      <c r="V196" s="1072"/>
      <c r="W196" s="1072"/>
      <c r="X196" s="1072"/>
      <c r="Y196" s="1072"/>
      <c r="Z196" s="1072"/>
      <c r="AA196" s="1072"/>
      <c r="AB196" s="1072"/>
      <c r="AC196" s="1072"/>
      <c r="AD196" s="1072"/>
      <c r="AE196" s="1072"/>
      <c r="AF196" s="1072"/>
      <c r="AG196" s="1072"/>
      <c r="AH196" s="1072"/>
      <c r="AI196" s="1072"/>
      <c r="AJ196" s="1072"/>
      <c r="AK196" s="1072"/>
      <c r="AL196" s="1072"/>
      <c r="AM196" s="1072"/>
      <c r="AN196" s="1072"/>
      <c r="AO196" s="1072"/>
      <c r="AP196" s="1072"/>
      <c r="AQ196" s="1072"/>
      <c r="AR196" s="1072"/>
      <c r="AS196" s="1072"/>
      <c r="AT196" s="1072"/>
      <c r="AU196" s="1072"/>
      <c r="AV196" s="1072"/>
      <c r="AW196" s="1072"/>
      <c r="AX196" s="1072"/>
      <c r="AY196" s="1072"/>
      <c r="AZ196" s="1072"/>
      <c r="BA196" s="1072"/>
      <c r="BB196" s="1072"/>
      <c r="BC196" s="1072"/>
      <c r="BD196" s="1072"/>
      <c r="BE196" s="1072"/>
      <c r="BF196" s="1072"/>
      <c r="BG196" s="1072"/>
      <c r="BH196" s="1072"/>
      <c r="BI196" s="1073">
        <f t="shared" ref="BI196:BI218" si="917">+I196+M196+Q196+U196+Y196+AC196+AG196+AK196+AO196+AS196+AW196+BA196+BE196</f>
        <v>0</v>
      </c>
      <c r="BJ196" s="1073">
        <f t="shared" ref="BJ196:BJ218" si="918">+J196+N196+R196+V196+Z196+AD196+AH196+AL196+AP196+AT196+AX196+BB196+BF196</f>
        <v>0</v>
      </c>
      <c r="BK196" s="1073">
        <f t="shared" ref="BK196:BK218" si="919">+K196+O196+S196+W196+AA196+AE196+AI196+AM196+AQ196+AU196+AY196+BC196+BG196</f>
        <v>0</v>
      </c>
      <c r="BL196" s="1073">
        <f t="shared" ref="BL196:BL218" si="920">+L196+P196+T196+X196+AB196+AF196+AJ196+AN196+AR196+AV196+AZ196+BD196+BH196</f>
        <v>0</v>
      </c>
      <c r="BM196" s="508"/>
    </row>
    <row r="197" spans="1:65" ht="39.75" thickTop="1" thickBot="1">
      <c r="A197" s="1066"/>
      <c r="B197" s="1066"/>
      <c r="C197" s="1066"/>
      <c r="D197" s="1066"/>
      <c r="E197" s="1077"/>
      <c r="F197" s="1077"/>
      <c r="G197" s="1078"/>
      <c r="H197" s="1067" t="str">
        <f>+'Anexo 1 Matriz Inf Gestión-GD'!A201</f>
        <v xml:space="preserve">Proyecto 3299.05 Implementación de estrategias para el manejo ambiental en comunidades afrodescendientes,  otras minorías étnicas, y/o poblaciones victimas del conflicto armado en el dpto. del Cesar. </v>
      </c>
      <c r="I197" s="1068">
        <f>SUM(I198:I200)</f>
        <v>0</v>
      </c>
      <c r="J197" s="1068">
        <f t="shared" ref="J197:AL197" si="921">SUM(J198:J200)</f>
        <v>0</v>
      </c>
      <c r="K197" s="1068">
        <f t="shared" si="921"/>
        <v>0</v>
      </c>
      <c r="L197" s="1068">
        <f t="shared" si="921"/>
        <v>0</v>
      </c>
      <c r="M197" s="1068">
        <f t="shared" si="921"/>
        <v>0</v>
      </c>
      <c r="N197" s="1068">
        <f t="shared" si="921"/>
        <v>0</v>
      </c>
      <c r="O197" s="1068">
        <f t="shared" si="921"/>
        <v>0</v>
      </c>
      <c r="P197" s="1068">
        <f t="shared" si="921"/>
        <v>0</v>
      </c>
      <c r="Q197" s="1068">
        <f t="shared" si="921"/>
        <v>0</v>
      </c>
      <c r="R197" s="1068">
        <f t="shared" si="921"/>
        <v>0</v>
      </c>
      <c r="S197" s="1068">
        <f t="shared" si="921"/>
        <v>0</v>
      </c>
      <c r="T197" s="1068">
        <f t="shared" si="921"/>
        <v>0</v>
      </c>
      <c r="U197" s="1068">
        <f t="shared" si="921"/>
        <v>0</v>
      </c>
      <c r="V197" s="1068">
        <f t="shared" si="921"/>
        <v>0</v>
      </c>
      <c r="W197" s="1068">
        <f t="shared" si="921"/>
        <v>0</v>
      </c>
      <c r="X197" s="1068">
        <f t="shared" si="921"/>
        <v>0</v>
      </c>
      <c r="Y197" s="1068">
        <f t="shared" si="921"/>
        <v>0</v>
      </c>
      <c r="Z197" s="1068">
        <f t="shared" si="921"/>
        <v>0</v>
      </c>
      <c r="AA197" s="1068">
        <f t="shared" si="921"/>
        <v>0</v>
      </c>
      <c r="AB197" s="1068">
        <f t="shared" si="921"/>
        <v>0</v>
      </c>
      <c r="AC197" s="1068">
        <f t="shared" si="921"/>
        <v>0</v>
      </c>
      <c r="AD197" s="1068">
        <f t="shared" si="921"/>
        <v>0</v>
      </c>
      <c r="AE197" s="1068">
        <f t="shared" si="921"/>
        <v>0</v>
      </c>
      <c r="AF197" s="1068">
        <f t="shared" si="921"/>
        <v>0</v>
      </c>
      <c r="AG197" s="1068">
        <f t="shared" si="921"/>
        <v>0</v>
      </c>
      <c r="AH197" s="1068">
        <f t="shared" si="921"/>
        <v>0</v>
      </c>
      <c r="AI197" s="1068">
        <f t="shared" si="921"/>
        <v>0</v>
      </c>
      <c r="AJ197" s="1068">
        <f t="shared" si="921"/>
        <v>0</v>
      </c>
      <c r="AK197" s="1068">
        <f t="shared" si="921"/>
        <v>0</v>
      </c>
      <c r="AL197" s="1068">
        <f t="shared" si="921"/>
        <v>0</v>
      </c>
      <c r="AM197" s="1068">
        <f t="shared" ref="AM197" si="922">SUM(AM198:AM200)</f>
        <v>0</v>
      </c>
      <c r="AN197" s="1068">
        <f t="shared" ref="AN197" si="923">SUM(AN198:AN200)</f>
        <v>0</v>
      </c>
      <c r="AO197" s="1068">
        <f t="shared" ref="AO197" si="924">SUM(AO198:AO200)</f>
        <v>0</v>
      </c>
      <c r="AP197" s="1068">
        <f t="shared" ref="AP197" si="925">SUM(AP198:AP200)</f>
        <v>0</v>
      </c>
      <c r="AQ197" s="1068">
        <f t="shared" ref="AQ197" si="926">SUM(AQ198:AQ200)</f>
        <v>0</v>
      </c>
      <c r="AR197" s="1068">
        <f t="shared" ref="AR197" si="927">SUM(AR198:AR200)</f>
        <v>0</v>
      </c>
      <c r="AS197" s="1068">
        <f t="shared" ref="AS197" si="928">SUM(AS198:AS200)</f>
        <v>0</v>
      </c>
      <c r="AT197" s="1068">
        <f t="shared" ref="AT197" si="929">SUM(AT198:AT200)</f>
        <v>0</v>
      </c>
      <c r="AU197" s="1068">
        <f t="shared" ref="AU197" si="930">SUM(AU198:AU200)</f>
        <v>0</v>
      </c>
      <c r="AV197" s="1068">
        <f t="shared" ref="AV197" si="931">SUM(AV198:AV200)</f>
        <v>0</v>
      </c>
      <c r="AW197" s="1068">
        <f t="shared" ref="AW197" si="932">SUM(AW198:AW200)</f>
        <v>0</v>
      </c>
      <c r="AX197" s="1068">
        <f t="shared" ref="AX197" si="933">SUM(AX198:AX200)</f>
        <v>0</v>
      </c>
      <c r="AY197" s="1068">
        <f t="shared" ref="AY197" si="934">SUM(AY198:AY200)</f>
        <v>0</v>
      </c>
      <c r="AZ197" s="1068">
        <f t="shared" ref="AZ197" si="935">SUM(AZ198:AZ200)</f>
        <v>0</v>
      </c>
      <c r="BA197" s="1068">
        <f t="shared" ref="BA197" si="936">SUM(BA198:BA200)</f>
        <v>0</v>
      </c>
      <c r="BB197" s="1068">
        <f t="shared" ref="BB197" si="937">SUM(BB198:BB200)</f>
        <v>0</v>
      </c>
      <c r="BC197" s="1068">
        <f t="shared" ref="BC197" si="938">SUM(BC198:BC200)</f>
        <v>0</v>
      </c>
      <c r="BD197" s="1068">
        <f t="shared" ref="BD197" si="939">SUM(BD198:BD200)</f>
        <v>0</v>
      </c>
      <c r="BE197" s="1068">
        <f t="shared" ref="BE197" si="940">SUM(BE198:BE200)</f>
        <v>0</v>
      </c>
      <c r="BF197" s="1068">
        <f t="shared" ref="BF197" si="941">SUM(BF198:BF200)</f>
        <v>0</v>
      </c>
      <c r="BG197" s="1068">
        <f t="shared" ref="BG197" si="942">SUM(BG198:BG200)</f>
        <v>0</v>
      </c>
      <c r="BH197" s="1068">
        <f t="shared" ref="BH197" si="943">SUM(BH198:BH200)</f>
        <v>0</v>
      </c>
      <c r="BI197" s="1069">
        <f t="shared" si="917"/>
        <v>0</v>
      </c>
      <c r="BJ197" s="1069">
        <f t="shared" si="918"/>
        <v>0</v>
      </c>
      <c r="BK197" s="1069">
        <f t="shared" si="919"/>
        <v>0</v>
      </c>
      <c r="BL197" s="1069">
        <f t="shared" si="920"/>
        <v>0</v>
      </c>
      <c r="BM197" s="1070"/>
    </row>
    <row r="198" spans="1:65" ht="39.75" thickTop="1" thickBot="1">
      <c r="A198" s="509"/>
      <c r="B198" s="509"/>
      <c r="C198" s="511"/>
      <c r="D198" s="511"/>
      <c r="E198" s="510"/>
      <c r="F198" s="510"/>
      <c r="G198" s="509"/>
      <c r="H198" s="1071" t="str">
        <f>+'Anexo 1 Matriz Inf Gestión-GD'!A202</f>
        <v>3299.05.01 Priorización de acciones (según capacidad y competencia) para el apoyo conjunto con el MADS a territorios colectivos y otras minorías vulnerables, en el marco del Pacto por los grupos étnicos del PND 2018-2022.</v>
      </c>
      <c r="I198" s="1072"/>
      <c r="J198" s="1072"/>
      <c r="K198" s="1072"/>
      <c r="L198" s="1072"/>
      <c r="M198" s="1072"/>
      <c r="N198" s="1072"/>
      <c r="O198" s="1072"/>
      <c r="P198" s="1072"/>
      <c r="Q198" s="1072"/>
      <c r="R198" s="1072"/>
      <c r="S198" s="1072"/>
      <c r="T198" s="1072"/>
      <c r="U198" s="1072"/>
      <c r="V198" s="1072"/>
      <c r="W198" s="1072"/>
      <c r="X198" s="1072"/>
      <c r="Y198" s="1072"/>
      <c r="Z198" s="1072"/>
      <c r="AA198" s="1072"/>
      <c r="AB198" s="1072"/>
      <c r="AC198" s="1072"/>
      <c r="AD198" s="1072"/>
      <c r="AE198" s="1072"/>
      <c r="AF198" s="1072"/>
      <c r="AG198" s="1072"/>
      <c r="AH198" s="1072"/>
      <c r="AI198" s="1072"/>
      <c r="AJ198" s="1072"/>
      <c r="AK198" s="1072"/>
      <c r="AL198" s="1072"/>
      <c r="AM198" s="1072"/>
      <c r="AN198" s="1072"/>
      <c r="AO198" s="1072"/>
      <c r="AP198" s="1072"/>
      <c r="AQ198" s="1072"/>
      <c r="AR198" s="1072"/>
      <c r="AS198" s="1072"/>
      <c r="AT198" s="1072"/>
      <c r="AU198" s="1072"/>
      <c r="AV198" s="1072"/>
      <c r="AW198" s="1072"/>
      <c r="AX198" s="1072"/>
      <c r="AY198" s="1072"/>
      <c r="AZ198" s="1072"/>
      <c r="BA198" s="1072"/>
      <c r="BB198" s="1072"/>
      <c r="BC198" s="1072"/>
      <c r="BD198" s="1072"/>
      <c r="BE198" s="1072"/>
      <c r="BF198" s="1072"/>
      <c r="BG198" s="1072"/>
      <c r="BH198" s="1072"/>
      <c r="BI198" s="1073">
        <f t="shared" si="917"/>
        <v>0</v>
      </c>
      <c r="BJ198" s="1073">
        <f t="shared" si="918"/>
        <v>0</v>
      </c>
      <c r="BK198" s="1073">
        <f t="shared" si="919"/>
        <v>0</v>
      </c>
      <c r="BL198" s="1073">
        <f t="shared" si="920"/>
        <v>0</v>
      </c>
      <c r="BM198" s="508"/>
    </row>
    <row r="199" spans="1:65" ht="52.5" thickTop="1" thickBot="1">
      <c r="A199" s="509"/>
      <c r="B199" s="509"/>
      <c r="C199" s="511"/>
      <c r="D199" s="511"/>
      <c r="E199" s="510"/>
      <c r="F199" s="510"/>
      <c r="G199" s="509"/>
      <c r="H199" s="1071" t="str">
        <f>+'Anexo 1 Matriz Inf Gestión-GD'!A203</f>
        <v>3299.05.02 Implementación de proyectos agroforestales como alternativa de sostenibilidad ambiental para el óptimo aprovechamiento y/o uso del suelo, y que favorezcan las condiciones alimentarias de subsistencia de las comunidades afrocolombianas</v>
      </c>
      <c r="I199" s="1072"/>
      <c r="J199" s="1072"/>
      <c r="K199" s="1072"/>
      <c r="L199" s="1072"/>
      <c r="M199" s="1072"/>
      <c r="N199" s="1072"/>
      <c r="O199" s="1072"/>
      <c r="P199" s="1072"/>
      <c r="Q199" s="1072"/>
      <c r="R199" s="1072"/>
      <c r="S199" s="1072"/>
      <c r="T199" s="1072"/>
      <c r="U199" s="1072"/>
      <c r="V199" s="1072"/>
      <c r="W199" s="1072"/>
      <c r="X199" s="1072"/>
      <c r="Y199" s="1072"/>
      <c r="Z199" s="1072"/>
      <c r="AA199" s="1072"/>
      <c r="AB199" s="1072"/>
      <c r="AC199" s="1072"/>
      <c r="AD199" s="1072"/>
      <c r="AE199" s="1072"/>
      <c r="AF199" s="1072"/>
      <c r="AG199" s="1072"/>
      <c r="AH199" s="1072"/>
      <c r="AI199" s="1072"/>
      <c r="AJ199" s="1072"/>
      <c r="AK199" s="1072"/>
      <c r="AL199" s="1072"/>
      <c r="AM199" s="1072"/>
      <c r="AN199" s="1072"/>
      <c r="AO199" s="1072"/>
      <c r="AP199" s="1072"/>
      <c r="AQ199" s="1072"/>
      <c r="AR199" s="1072"/>
      <c r="AS199" s="1072"/>
      <c r="AT199" s="1072"/>
      <c r="AU199" s="1072"/>
      <c r="AV199" s="1072"/>
      <c r="AW199" s="1072"/>
      <c r="AX199" s="1072"/>
      <c r="AY199" s="1072"/>
      <c r="AZ199" s="1072"/>
      <c r="BA199" s="1072"/>
      <c r="BB199" s="1072"/>
      <c r="BC199" s="1072"/>
      <c r="BD199" s="1072"/>
      <c r="BE199" s="1072"/>
      <c r="BF199" s="1072"/>
      <c r="BG199" s="1072"/>
      <c r="BH199" s="1072"/>
      <c r="BI199" s="1073">
        <f t="shared" si="917"/>
        <v>0</v>
      </c>
      <c r="BJ199" s="1073">
        <f t="shared" si="918"/>
        <v>0</v>
      </c>
      <c r="BK199" s="1073">
        <f t="shared" si="919"/>
        <v>0</v>
      </c>
      <c r="BL199" s="1073">
        <f t="shared" si="920"/>
        <v>0</v>
      </c>
      <c r="BM199" s="508"/>
    </row>
    <row r="200" spans="1:65" ht="52.5" thickTop="1" thickBot="1">
      <c r="A200" s="509"/>
      <c r="B200" s="509"/>
      <c r="C200" s="511"/>
      <c r="D200" s="511"/>
      <c r="E200" s="510"/>
      <c r="F200" s="510"/>
      <c r="G200" s="509"/>
      <c r="H200" s="1071" t="str">
        <f>+'Anexo 1 Matriz Inf Gestión-GD'!A204</f>
        <v>3299.05.03 Fortalecimiento de la capacidad social, para la transformación de conflictos y valoración como aliados estratégicos para la conservación y la gestión ambiental (Investigación y monitoreo comunitario, Conservación en territorios colectivos, mujeres en la gestión ambiental. (asocio con proyectos 6.1 y 6.3).</v>
      </c>
      <c r="I200" s="1072"/>
      <c r="J200" s="1072"/>
      <c r="K200" s="1072"/>
      <c r="L200" s="1072"/>
      <c r="M200" s="1072"/>
      <c r="N200" s="1072"/>
      <c r="O200" s="1072"/>
      <c r="P200" s="1072"/>
      <c r="Q200" s="1072"/>
      <c r="R200" s="1072"/>
      <c r="S200" s="1072"/>
      <c r="T200" s="1072"/>
      <c r="U200" s="1072"/>
      <c r="V200" s="1072"/>
      <c r="W200" s="1072"/>
      <c r="X200" s="1072"/>
      <c r="Y200" s="1072"/>
      <c r="Z200" s="1072"/>
      <c r="AA200" s="1072"/>
      <c r="AB200" s="1072"/>
      <c r="AC200" s="1072"/>
      <c r="AD200" s="1072"/>
      <c r="AE200" s="1072"/>
      <c r="AF200" s="1072"/>
      <c r="AG200" s="1072"/>
      <c r="AH200" s="1072"/>
      <c r="AI200" s="1072"/>
      <c r="AJ200" s="1072"/>
      <c r="AK200" s="1072"/>
      <c r="AL200" s="1072"/>
      <c r="AM200" s="1072"/>
      <c r="AN200" s="1072"/>
      <c r="AO200" s="1072"/>
      <c r="AP200" s="1072"/>
      <c r="AQ200" s="1072"/>
      <c r="AR200" s="1072"/>
      <c r="AS200" s="1072"/>
      <c r="AT200" s="1072"/>
      <c r="AU200" s="1072"/>
      <c r="AV200" s="1072"/>
      <c r="AW200" s="1072"/>
      <c r="AX200" s="1072"/>
      <c r="AY200" s="1072"/>
      <c r="AZ200" s="1072"/>
      <c r="BA200" s="1072"/>
      <c r="BB200" s="1072"/>
      <c r="BC200" s="1072"/>
      <c r="BD200" s="1072"/>
      <c r="BE200" s="1072"/>
      <c r="BF200" s="1072"/>
      <c r="BG200" s="1072"/>
      <c r="BH200" s="1072"/>
      <c r="BI200" s="1073">
        <f t="shared" si="917"/>
        <v>0</v>
      </c>
      <c r="BJ200" s="1073">
        <f t="shared" si="918"/>
        <v>0</v>
      </c>
      <c r="BK200" s="1073">
        <f t="shared" si="919"/>
        <v>0</v>
      </c>
      <c r="BL200" s="1073">
        <f t="shared" si="920"/>
        <v>0</v>
      </c>
      <c r="BM200" s="508"/>
    </row>
    <row r="201" spans="1:65" ht="27" thickTop="1" thickBot="1">
      <c r="A201" s="1066"/>
      <c r="B201" s="1066"/>
      <c r="C201" s="1066"/>
      <c r="D201" s="1066"/>
      <c r="E201" s="1077"/>
      <c r="F201" s="1077"/>
      <c r="G201" s="1078"/>
      <c r="H201" s="1067" t="str">
        <f>+'Anexo 1 Matriz Inf Gestión-GD'!A205</f>
        <v xml:space="preserve">Proyecto 3299.06 Fortalecimiento de las  TIC´s .según lineamientos de MINTICs y la política de gobierno digital, en Corpocesar. </v>
      </c>
      <c r="I201" s="1068">
        <f>SUM(I202:I205)</f>
        <v>0</v>
      </c>
      <c r="J201" s="1068">
        <f t="shared" ref="J201:AL201" si="944">SUM(J202:J205)</f>
        <v>0</v>
      </c>
      <c r="K201" s="1068">
        <f t="shared" si="944"/>
        <v>0</v>
      </c>
      <c r="L201" s="1068">
        <f t="shared" si="944"/>
        <v>0</v>
      </c>
      <c r="M201" s="1068">
        <f t="shared" si="944"/>
        <v>0</v>
      </c>
      <c r="N201" s="1068">
        <f t="shared" si="944"/>
        <v>0</v>
      </c>
      <c r="O201" s="1068">
        <f t="shared" si="944"/>
        <v>0</v>
      </c>
      <c r="P201" s="1068">
        <f t="shared" si="944"/>
        <v>0</v>
      </c>
      <c r="Q201" s="1068">
        <f t="shared" si="944"/>
        <v>0</v>
      </c>
      <c r="R201" s="1068">
        <f t="shared" si="944"/>
        <v>0</v>
      </c>
      <c r="S201" s="1068">
        <f t="shared" si="944"/>
        <v>0</v>
      </c>
      <c r="T201" s="1068">
        <f t="shared" si="944"/>
        <v>0</v>
      </c>
      <c r="U201" s="1068">
        <f t="shared" si="944"/>
        <v>0</v>
      </c>
      <c r="V201" s="1068">
        <f t="shared" si="944"/>
        <v>0</v>
      </c>
      <c r="W201" s="1068">
        <f t="shared" si="944"/>
        <v>0</v>
      </c>
      <c r="X201" s="1068">
        <f t="shared" si="944"/>
        <v>0</v>
      </c>
      <c r="Y201" s="1068">
        <f t="shared" si="944"/>
        <v>0</v>
      </c>
      <c r="Z201" s="1068">
        <f t="shared" si="944"/>
        <v>0</v>
      </c>
      <c r="AA201" s="1068">
        <f t="shared" si="944"/>
        <v>0</v>
      </c>
      <c r="AB201" s="1068">
        <f t="shared" si="944"/>
        <v>0</v>
      </c>
      <c r="AC201" s="1068">
        <f t="shared" si="944"/>
        <v>0</v>
      </c>
      <c r="AD201" s="1068">
        <f t="shared" si="944"/>
        <v>0</v>
      </c>
      <c r="AE201" s="1068">
        <f t="shared" si="944"/>
        <v>0</v>
      </c>
      <c r="AF201" s="1068">
        <f t="shared" si="944"/>
        <v>0</v>
      </c>
      <c r="AG201" s="1068">
        <f t="shared" si="944"/>
        <v>0</v>
      </c>
      <c r="AH201" s="1068">
        <f t="shared" si="944"/>
        <v>0</v>
      </c>
      <c r="AI201" s="1068">
        <f t="shared" si="944"/>
        <v>0</v>
      </c>
      <c r="AJ201" s="1068">
        <f t="shared" si="944"/>
        <v>0</v>
      </c>
      <c r="AK201" s="1068">
        <f t="shared" si="944"/>
        <v>0</v>
      </c>
      <c r="AL201" s="1068">
        <f t="shared" si="944"/>
        <v>0</v>
      </c>
      <c r="AM201" s="1068">
        <f t="shared" ref="AM201" si="945">SUM(AM202:AM205)</f>
        <v>0</v>
      </c>
      <c r="AN201" s="1068">
        <f t="shared" ref="AN201" si="946">SUM(AN202:AN205)</f>
        <v>0</v>
      </c>
      <c r="AO201" s="1068">
        <f t="shared" ref="AO201" si="947">SUM(AO202:AO205)</f>
        <v>0</v>
      </c>
      <c r="AP201" s="1068">
        <f t="shared" ref="AP201" si="948">SUM(AP202:AP205)</f>
        <v>0</v>
      </c>
      <c r="AQ201" s="1068">
        <f t="shared" ref="AQ201" si="949">SUM(AQ202:AQ205)</f>
        <v>0</v>
      </c>
      <c r="AR201" s="1068">
        <f t="shared" ref="AR201" si="950">SUM(AR202:AR205)</f>
        <v>0</v>
      </c>
      <c r="AS201" s="1068">
        <f t="shared" ref="AS201" si="951">SUM(AS202:AS205)</f>
        <v>0</v>
      </c>
      <c r="AT201" s="1068">
        <f t="shared" ref="AT201" si="952">SUM(AT202:AT205)</f>
        <v>0</v>
      </c>
      <c r="AU201" s="1068">
        <f t="shared" ref="AU201" si="953">SUM(AU202:AU205)</f>
        <v>0</v>
      </c>
      <c r="AV201" s="1068">
        <f t="shared" ref="AV201" si="954">SUM(AV202:AV205)</f>
        <v>0</v>
      </c>
      <c r="AW201" s="1068">
        <f t="shared" ref="AW201" si="955">SUM(AW202:AW205)</f>
        <v>0</v>
      </c>
      <c r="AX201" s="1068">
        <f t="shared" ref="AX201" si="956">SUM(AX202:AX205)</f>
        <v>0</v>
      </c>
      <c r="AY201" s="1068">
        <f t="shared" ref="AY201" si="957">SUM(AY202:AY205)</f>
        <v>0</v>
      </c>
      <c r="AZ201" s="1068">
        <f t="shared" ref="AZ201" si="958">SUM(AZ202:AZ205)</f>
        <v>0</v>
      </c>
      <c r="BA201" s="1068">
        <f t="shared" ref="BA201" si="959">SUM(BA202:BA205)</f>
        <v>0</v>
      </c>
      <c r="BB201" s="1068">
        <f t="shared" ref="BB201" si="960">SUM(BB202:BB205)</f>
        <v>0</v>
      </c>
      <c r="BC201" s="1068">
        <f t="shared" ref="BC201" si="961">SUM(BC202:BC205)</f>
        <v>0</v>
      </c>
      <c r="BD201" s="1068">
        <f t="shared" ref="BD201" si="962">SUM(BD202:BD205)</f>
        <v>0</v>
      </c>
      <c r="BE201" s="1068">
        <f t="shared" ref="BE201" si="963">SUM(BE202:BE205)</f>
        <v>0</v>
      </c>
      <c r="BF201" s="1068">
        <f t="shared" ref="BF201" si="964">SUM(BF202:BF205)</f>
        <v>0</v>
      </c>
      <c r="BG201" s="1068">
        <f t="shared" ref="BG201" si="965">SUM(BG202:BG205)</f>
        <v>0</v>
      </c>
      <c r="BH201" s="1068">
        <f t="shared" ref="BH201" si="966">SUM(BH202:BH205)</f>
        <v>0</v>
      </c>
      <c r="BI201" s="1069">
        <f t="shared" si="917"/>
        <v>0</v>
      </c>
      <c r="BJ201" s="1069">
        <f t="shared" si="918"/>
        <v>0</v>
      </c>
      <c r="BK201" s="1069">
        <f t="shared" si="919"/>
        <v>0</v>
      </c>
      <c r="BL201" s="1069">
        <f t="shared" si="920"/>
        <v>0</v>
      </c>
      <c r="BM201" s="1070"/>
    </row>
    <row r="202" spans="1:65" ht="27" thickTop="1" thickBot="1">
      <c r="A202" s="509"/>
      <c r="B202" s="509"/>
      <c r="C202" s="511"/>
      <c r="D202" s="511"/>
      <c r="E202" s="510"/>
      <c r="F202" s="510"/>
      <c r="G202" s="509"/>
      <c r="H202" s="1071" t="str">
        <f>+'Anexo 1 Matriz Inf Gestión-GD'!A206</f>
        <v>3299.06.01 Ejecución del plan de acción para la implementación efectiva de la estrategia de gobierno digital</v>
      </c>
      <c r="I202" s="1072"/>
      <c r="J202" s="1072"/>
      <c r="K202" s="1072"/>
      <c r="L202" s="1072"/>
      <c r="M202" s="1072"/>
      <c r="N202" s="1072"/>
      <c r="O202" s="1072"/>
      <c r="P202" s="1072"/>
      <c r="Q202" s="1072"/>
      <c r="R202" s="1072"/>
      <c r="S202" s="1072"/>
      <c r="T202" s="1072"/>
      <c r="U202" s="1072"/>
      <c r="V202" s="1072"/>
      <c r="W202" s="1072"/>
      <c r="X202" s="1072"/>
      <c r="Y202" s="1072"/>
      <c r="Z202" s="1072"/>
      <c r="AA202" s="1072"/>
      <c r="AB202" s="1072"/>
      <c r="AC202" s="1072"/>
      <c r="AD202" s="1072"/>
      <c r="AE202" s="1072"/>
      <c r="AF202" s="1072"/>
      <c r="AG202" s="1072"/>
      <c r="AH202" s="1072"/>
      <c r="AI202" s="1072"/>
      <c r="AJ202" s="1072"/>
      <c r="AK202" s="1072"/>
      <c r="AL202" s="1072"/>
      <c r="AM202" s="1072"/>
      <c r="AN202" s="1072"/>
      <c r="AO202" s="1072"/>
      <c r="AP202" s="1072"/>
      <c r="AQ202" s="1072"/>
      <c r="AR202" s="1072"/>
      <c r="AS202" s="1072"/>
      <c r="AT202" s="1072"/>
      <c r="AU202" s="1072"/>
      <c r="AV202" s="1072"/>
      <c r="AW202" s="1072"/>
      <c r="AX202" s="1072"/>
      <c r="AY202" s="1072"/>
      <c r="AZ202" s="1072"/>
      <c r="BA202" s="1072"/>
      <c r="BB202" s="1072"/>
      <c r="BC202" s="1072"/>
      <c r="BD202" s="1072"/>
      <c r="BE202" s="1072"/>
      <c r="BF202" s="1072"/>
      <c r="BG202" s="1072"/>
      <c r="BH202" s="1072"/>
      <c r="BI202" s="1073">
        <f t="shared" si="917"/>
        <v>0</v>
      </c>
      <c r="BJ202" s="1073">
        <f t="shared" si="918"/>
        <v>0</v>
      </c>
      <c r="BK202" s="1073">
        <f t="shared" si="919"/>
        <v>0</v>
      </c>
      <c r="BL202" s="1073">
        <f t="shared" si="920"/>
        <v>0</v>
      </c>
      <c r="BM202" s="508"/>
    </row>
    <row r="203" spans="1:65" ht="27" thickTop="1" thickBot="1">
      <c r="A203" s="509"/>
      <c r="B203" s="509"/>
      <c r="C203" s="511"/>
      <c r="D203" s="511"/>
      <c r="E203" s="510"/>
      <c r="F203" s="510"/>
      <c r="G203" s="509"/>
      <c r="H203" s="1071" t="str">
        <f>+'Anexo 1 Matriz Inf Gestión-GD'!A207</f>
        <v>3299.06.02 Gestión para el cumplimiento del proceso de transparencia y acceso a la información (Ley 1712 de 2014)</v>
      </c>
      <c r="I203" s="1072"/>
      <c r="J203" s="1072"/>
      <c r="K203" s="1072"/>
      <c r="L203" s="1072"/>
      <c r="M203" s="1072"/>
      <c r="N203" s="1072"/>
      <c r="O203" s="1072"/>
      <c r="P203" s="1072"/>
      <c r="Q203" s="1072"/>
      <c r="R203" s="1072"/>
      <c r="S203" s="1072"/>
      <c r="T203" s="1072"/>
      <c r="U203" s="1072"/>
      <c r="V203" s="1072"/>
      <c r="W203" s="1072"/>
      <c r="X203" s="1072"/>
      <c r="Y203" s="1072"/>
      <c r="Z203" s="1072"/>
      <c r="AA203" s="1072"/>
      <c r="AB203" s="1072"/>
      <c r="AC203" s="1072"/>
      <c r="AD203" s="1072"/>
      <c r="AE203" s="1072"/>
      <c r="AF203" s="1072"/>
      <c r="AG203" s="1072"/>
      <c r="AH203" s="1072"/>
      <c r="AI203" s="1072"/>
      <c r="AJ203" s="1072"/>
      <c r="AK203" s="1072"/>
      <c r="AL203" s="1072"/>
      <c r="AM203" s="1072"/>
      <c r="AN203" s="1072"/>
      <c r="AO203" s="1072"/>
      <c r="AP203" s="1072"/>
      <c r="AQ203" s="1072"/>
      <c r="AR203" s="1072"/>
      <c r="AS203" s="1072"/>
      <c r="AT203" s="1072"/>
      <c r="AU203" s="1072"/>
      <c r="AV203" s="1072"/>
      <c r="AW203" s="1072"/>
      <c r="AX203" s="1072"/>
      <c r="AY203" s="1072"/>
      <c r="AZ203" s="1072"/>
      <c r="BA203" s="1072"/>
      <c r="BB203" s="1072"/>
      <c r="BC203" s="1072"/>
      <c r="BD203" s="1072"/>
      <c r="BE203" s="1072"/>
      <c r="BF203" s="1072"/>
      <c r="BG203" s="1072"/>
      <c r="BH203" s="1072"/>
      <c r="BI203" s="1073">
        <f t="shared" si="917"/>
        <v>0</v>
      </c>
      <c r="BJ203" s="1073">
        <f t="shared" si="918"/>
        <v>0</v>
      </c>
      <c r="BK203" s="1073">
        <f t="shared" si="919"/>
        <v>0</v>
      </c>
      <c r="BL203" s="1073">
        <f t="shared" si="920"/>
        <v>0</v>
      </c>
      <c r="BM203" s="508"/>
    </row>
    <row r="204" spans="1:65" ht="16.5" thickTop="1" thickBot="1">
      <c r="A204" s="509"/>
      <c r="B204" s="509"/>
      <c r="C204" s="511"/>
      <c r="D204" s="511"/>
      <c r="E204" s="510"/>
      <c r="F204" s="510"/>
      <c r="G204" s="509"/>
      <c r="H204" s="1071" t="str">
        <f>+'Anexo 1 Matriz Inf Gestión-GD'!A208</f>
        <v>3299.06.03 Soporte interno en tecnología y formación para el uso eficiente de las TICs.</v>
      </c>
      <c r="I204" s="1072"/>
      <c r="J204" s="1072"/>
      <c r="K204" s="1072"/>
      <c r="L204" s="1072"/>
      <c r="M204" s="1072"/>
      <c r="N204" s="1072"/>
      <c r="O204" s="1072"/>
      <c r="P204" s="1072"/>
      <c r="Q204" s="1072"/>
      <c r="R204" s="1072"/>
      <c r="S204" s="1072"/>
      <c r="T204" s="1072"/>
      <c r="U204" s="1072"/>
      <c r="V204" s="1072"/>
      <c r="W204" s="1072"/>
      <c r="X204" s="1072"/>
      <c r="Y204" s="1072"/>
      <c r="Z204" s="1072"/>
      <c r="AA204" s="1072"/>
      <c r="AB204" s="1072"/>
      <c r="AC204" s="1072"/>
      <c r="AD204" s="1072"/>
      <c r="AE204" s="1072"/>
      <c r="AF204" s="1072"/>
      <c r="AG204" s="1072"/>
      <c r="AH204" s="1072"/>
      <c r="AI204" s="1072"/>
      <c r="AJ204" s="1072"/>
      <c r="AK204" s="1072"/>
      <c r="AL204" s="1072"/>
      <c r="AM204" s="1072"/>
      <c r="AN204" s="1072"/>
      <c r="AO204" s="1072"/>
      <c r="AP204" s="1072"/>
      <c r="AQ204" s="1072"/>
      <c r="AR204" s="1072"/>
      <c r="AS204" s="1072"/>
      <c r="AT204" s="1072"/>
      <c r="AU204" s="1072"/>
      <c r="AV204" s="1072"/>
      <c r="AW204" s="1072"/>
      <c r="AX204" s="1072"/>
      <c r="AY204" s="1072"/>
      <c r="AZ204" s="1072"/>
      <c r="BA204" s="1072"/>
      <c r="BB204" s="1072"/>
      <c r="BC204" s="1072"/>
      <c r="BD204" s="1072"/>
      <c r="BE204" s="1072"/>
      <c r="BF204" s="1072"/>
      <c r="BG204" s="1072"/>
      <c r="BH204" s="1072"/>
      <c r="BI204" s="1073">
        <f t="shared" si="917"/>
        <v>0</v>
      </c>
      <c r="BJ204" s="1073">
        <f t="shared" si="918"/>
        <v>0</v>
      </c>
      <c r="BK204" s="1073">
        <f t="shared" si="919"/>
        <v>0</v>
      </c>
      <c r="BL204" s="1073">
        <f t="shared" si="920"/>
        <v>0</v>
      </c>
      <c r="BM204" s="508"/>
    </row>
    <row r="205" spans="1:65" ht="39.75" thickTop="1" thickBot="1">
      <c r="A205" s="509"/>
      <c r="B205" s="509"/>
      <c r="C205" s="511"/>
      <c r="D205" s="511"/>
      <c r="E205" s="510"/>
      <c r="F205" s="510"/>
      <c r="G205" s="509"/>
      <c r="H205" s="1071" t="str">
        <f>+'Anexo 1 Matriz Inf Gestión-GD'!A209</f>
        <v>3299.06.04 Gestión para la adquisición hardware y sofware, licencias (según necesidad ) e implementación óptima de software adquiridos (ej. PCT, seguridad informática, almacén etc)</v>
      </c>
      <c r="I205" s="1072"/>
      <c r="J205" s="1072"/>
      <c r="K205" s="1072"/>
      <c r="L205" s="1072"/>
      <c r="M205" s="1072"/>
      <c r="N205" s="1072"/>
      <c r="O205" s="1072"/>
      <c r="P205" s="1072"/>
      <c r="Q205" s="1072"/>
      <c r="R205" s="1072"/>
      <c r="S205" s="1072"/>
      <c r="T205" s="1072"/>
      <c r="U205" s="1072"/>
      <c r="V205" s="1072"/>
      <c r="W205" s="1072"/>
      <c r="X205" s="1072"/>
      <c r="Y205" s="1072"/>
      <c r="Z205" s="1072"/>
      <c r="AA205" s="1072"/>
      <c r="AB205" s="1072"/>
      <c r="AC205" s="1072"/>
      <c r="AD205" s="1072"/>
      <c r="AE205" s="1072"/>
      <c r="AF205" s="1072"/>
      <c r="AG205" s="1072"/>
      <c r="AH205" s="1072"/>
      <c r="AI205" s="1072"/>
      <c r="AJ205" s="1072"/>
      <c r="AK205" s="1072"/>
      <c r="AL205" s="1072"/>
      <c r="AM205" s="1072"/>
      <c r="AN205" s="1072"/>
      <c r="AO205" s="1072"/>
      <c r="AP205" s="1072"/>
      <c r="AQ205" s="1072"/>
      <c r="AR205" s="1072"/>
      <c r="AS205" s="1072"/>
      <c r="AT205" s="1072"/>
      <c r="AU205" s="1072"/>
      <c r="AV205" s="1072"/>
      <c r="AW205" s="1072"/>
      <c r="AX205" s="1072"/>
      <c r="AY205" s="1072"/>
      <c r="AZ205" s="1072"/>
      <c r="BA205" s="1072"/>
      <c r="BB205" s="1072"/>
      <c r="BC205" s="1072"/>
      <c r="BD205" s="1072"/>
      <c r="BE205" s="1072"/>
      <c r="BF205" s="1072"/>
      <c r="BG205" s="1072"/>
      <c r="BH205" s="1072"/>
      <c r="BI205" s="1073">
        <f t="shared" si="917"/>
        <v>0</v>
      </c>
      <c r="BJ205" s="1073">
        <f t="shared" si="918"/>
        <v>0</v>
      </c>
      <c r="BK205" s="1073">
        <f t="shared" si="919"/>
        <v>0</v>
      </c>
      <c r="BL205" s="1073">
        <f t="shared" si="920"/>
        <v>0</v>
      </c>
      <c r="BM205" s="508"/>
    </row>
    <row r="206" spans="1:65" ht="28.5" thickTop="1" thickBot="1">
      <c r="A206" s="1060"/>
      <c r="B206" s="1061"/>
      <c r="C206" s="1061"/>
      <c r="D206" s="1061"/>
      <c r="E206" s="1060"/>
      <c r="F206" s="1060"/>
      <c r="G206" s="1060"/>
      <c r="H206" s="1062" t="str">
        <f>+'Anexo 1 Matriz Inf Gestión-GD'!A210</f>
        <v>PROGRAMA 3204.  GESTIÓN DE LA INFORMACIÓN Y EL CONOCIMIENTO AMBIENTAL</v>
      </c>
      <c r="I206" s="1063">
        <f>+I207+I214</f>
        <v>0</v>
      </c>
      <c r="J206" s="1063">
        <f t="shared" ref="J206:AL206" si="967">+J207+J214</f>
        <v>0</v>
      </c>
      <c r="K206" s="1063">
        <f t="shared" si="967"/>
        <v>0</v>
      </c>
      <c r="L206" s="1063">
        <f t="shared" si="967"/>
        <v>0</v>
      </c>
      <c r="M206" s="1063">
        <f t="shared" si="967"/>
        <v>0</v>
      </c>
      <c r="N206" s="1063">
        <f t="shared" si="967"/>
        <v>0</v>
      </c>
      <c r="O206" s="1063">
        <f t="shared" si="967"/>
        <v>0</v>
      </c>
      <c r="P206" s="1063">
        <f t="shared" si="967"/>
        <v>0</v>
      </c>
      <c r="Q206" s="1063">
        <f t="shared" si="967"/>
        <v>0</v>
      </c>
      <c r="R206" s="1063">
        <f t="shared" si="967"/>
        <v>0</v>
      </c>
      <c r="S206" s="1063">
        <f t="shared" si="967"/>
        <v>0</v>
      </c>
      <c r="T206" s="1063">
        <f t="shared" si="967"/>
        <v>0</v>
      </c>
      <c r="U206" s="1063">
        <f t="shared" si="967"/>
        <v>0</v>
      </c>
      <c r="V206" s="1063">
        <f t="shared" si="967"/>
        <v>0</v>
      </c>
      <c r="W206" s="1063">
        <f t="shared" si="967"/>
        <v>0</v>
      </c>
      <c r="X206" s="1063">
        <f t="shared" si="967"/>
        <v>0</v>
      </c>
      <c r="Y206" s="1063">
        <f t="shared" si="967"/>
        <v>0</v>
      </c>
      <c r="Z206" s="1063">
        <f t="shared" si="967"/>
        <v>0</v>
      </c>
      <c r="AA206" s="1063">
        <f t="shared" si="967"/>
        <v>0</v>
      </c>
      <c r="AB206" s="1063">
        <f t="shared" si="967"/>
        <v>0</v>
      </c>
      <c r="AC206" s="1063">
        <f t="shared" si="967"/>
        <v>0</v>
      </c>
      <c r="AD206" s="1063">
        <f t="shared" si="967"/>
        <v>0</v>
      </c>
      <c r="AE206" s="1063">
        <f t="shared" si="967"/>
        <v>0</v>
      </c>
      <c r="AF206" s="1063">
        <f t="shared" si="967"/>
        <v>0</v>
      </c>
      <c r="AG206" s="1063">
        <f t="shared" si="967"/>
        <v>0</v>
      </c>
      <c r="AH206" s="1063">
        <f t="shared" si="967"/>
        <v>0</v>
      </c>
      <c r="AI206" s="1063">
        <f t="shared" si="967"/>
        <v>0</v>
      </c>
      <c r="AJ206" s="1063">
        <f t="shared" si="967"/>
        <v>0</v>
      </c>
      <c r="AK206" s="1063">
        <f t="shared" si="967"/>
        <v>0</v>
      </c>
      <c r="AL206" s="1063">
        <f t="shared" si="967"/>
        <v>0</v>
      </c>
      <c r="AM206" s="1063">
        <f t="shared" ref="AM206" si="968">+AM207+AM214</f>
        <v>0</v>
      </c>
      <c r="AN206" s="1063">
        <f t="shared" ref="AN206" si="969">+AN207+AN214</f>
        <v>0</v>
      </c>
      <c r="AO206" s="1063">
        <f t="shared" ref="AO206" si="970">+AO207+AO214</f>
        <v>0</v>
      </c>
      <c r="AP206" s="1063">
        <f t="shared" ref="AP206" si="971">+AP207+AP214</f>
        <v>0</v>
      </c>
      <c r="AQ206" s="1063">
        <f t="shared" ref="AQ206" si="972">+AQ207+AQ214</f>
        <v>0</v>
      </c>
      <c r="AR206" s="1063">
        <f t="shared" ref="AR206" si="973">+AR207+AR214</f>
        <v>0</v>
      </c>
      <c r="AS206" s="1063">
        <f t="shared" ref="AS206" si="974">+AS207+AS214</f>
        <v>0</v>
      </c>
      <c r="AT206" s="1063">
        <f t="shared" ref="AT206" si="975">+AT207+AT214</f>
        <v>0</v>
      </c>
      <c r="AU206" s="1063">
        <f t="shared" ref="AU206" si="976">+AU207+AU214</f>
        <v>0</v>
      </c>
      <c r="AV206" s="1063">
        <f t="shared" ref="AV206" si="977">+AV207+AV214</f>
        <v>0</v>
      </c>
      <c r="AW206" s="1063">
        <f t="shared" ref="AW206" si="978">+AW207+AW214</f>
        <v>0</v>
      </c>
      <c r="AX206" s="1063">
        <f t="shared" ref="AX206" si="979">+AX207+AX214</f>
        <v>0</v>
      </c>
      <c r="AY206" s="1063">
        <f t="shared" ref="AY206" si="980">+AY207+AY214</f>
        <v>0</v>
      </c>
      <c r="AZ206" s="1063">
        <f t="shared" ref="AZ206" si="981">+AZ207+AZ214</f>
        <v>0</v>
      </c>
      <c r="BA206" s="1063">
        <f t="shared" ref="BA206" si="982">+BA207+BA214</f>
        <v>0</v>
      </c>
      <c r="BB206" s="1063">
        <f t="shared" ref="BB206" si="983">+BB207+BB214</f>
        <v>0</v>
      </c>
      <c r="BC206" s="1063">
        <f t="shared" ref="BC206" si="984">+BC207+BC214</f>
        <v>0</v>
      </c>
      <c r="BD206" s="1063">
        <f t="shared" ref="BD206" si="985">+BD207+BD214</f>
        <v>0</v>
      </c>
      <c r="BE206" s="1063">
        <f t="shared" ref="BE206" si="986">+BE207+BE214</f>
        <v>0</v>
      </c>
      <c r="BF206" s="1063">
        <f t="shared" ref="BF206" si="987">+BF207+BF214</f>
        <v>0</v>
      </c>
      <c r="BG206" s="1063">
        <f t="shared" ref="BG206" si="988">+BG207+BG214</f>
        <v>0</v>
      </c>
      <c r="BH206" s="1063">
        <f t="shared" ref="BH206" si="989">+BH207+BH214</f>
        <v>0</v>
      </c>
      <c r="BI206" s="1064">
        <f t="shared" si="917"/>
        <v>0</v>
      </c>
      <c r="BJ206" s="1064">
        <f t="shared" si="918"/>
        <v>0</v>
      </c>
      <c r="BK206" s="1064">
        <f t="shared" si="919"/>
        <v>0</v>
      </c>
      <c r="BL206" s="1064">
        <f t="shared" si="920"/>
        <v>0</v>
      </c>
      <c r="BM206" s="1065"/>
    </row>
    <row r="207" spans="1:65" ht="27" thickTop="1" thickBot="1">
      <c r="A207" s="1066"/>
      <c r="B207" s="1066"/>
      <c r="C207" s="1066"/>
      <c r="D207" s="1066"/>
      <c r="E207" s="1077"/>
      <c r="F207" s="1077"/>
      <c r="G207" s="1078"/>
      <c r="H207" s="1067" t="str">
        <f>+'Anexo 1 Matriz Inf Gestión-GD'!A211</f>
        <v xml:space="preserve">Proyecto 3204.01 Gestión de conocimiento e información ambiental para la promoción del desarrollo ambiental sostenible. </v>
      </c>
      <c r="I207" s="1068">
        <f>SUM(I208:I213)</f>
        <v>0</v>
      </c>
      <c r="J207" s="1068">
        <f t="shared" ref="J207:AL207" si="990">SUM(J208:J213)</f>
        <v>0</v>
      </c>
      <c r="K207" s="1068">
        <f t="shared" si="990"/>
        <v>0</v>
      </c>
      <c r="L207" s="1068">
        <f t="shared" si="990"/>
        <v>0</v>
      </c>
      <c r="M207" s="1068">
        <f t="shared" si="990"/>
        <v>0</v>
      </c>
      <c r="N207" s="1068">
        <f t="shared" si="990"/>
        <v>0</v>
      </c>
      <c r="O207" s="1068">
        <f t="shared" si="990"/>
        <v>0</v>
      </c>
      <c r="P207" s="1068">
        <f t="shared" si="990"/>
        <v>0</v>
      </c>
      <c r="Q207" s="1068">
        <f t="shared" si="990"/>
        <v>0</v>
      </c>
      <c r="R207" s="1068">
        <f t="shared" si="990"/>
        <v>0</v>
      </c>
      <c r="S207" s="1068">
        <f t="shared" si="990"/>
        <v>0</v>
      </c>
      <c r="T207" s="1068">
        <f t="shared" si="990"/>
        <v>0</v>
      </c>
      <c r="U207" s="1068">
        <f t="shared" si="990"/>
        <v>0</v>
      </c>
      <c r="V207" s="1068">
        <f t="shared" si="990"/>
        <v>0</v>
      </c>
      <c r="W207" s="1068">
        <f t="shared" si="990"/>
        <v>0</v>
      </c>
      <c r="X207" s="1068">
        <f t="shared" si="990"/>
        <v>0</v>
      </c>
      <c r="Y207" s="1068">
        <f t="shared" si="990"/>
        <v>0</v>
      </c>
      <c r="Z207" s="1068">
        <f t="shared" si="990"/>
        <v>0</v>
      </c>
      <c r="AA207" s="1068">
        <f t="shared" si="990"/>
        <v>0</v>
      </c>
      <c r="AB207" s="1068">
        <f t="shared" si="990"/>
        <v>0</v>
      </c>
      <c r="AC207" s="1068">
        <f t="shared" si="990"/>
        <v>0</v>
      </c>
      <c r="AD207" s="1068">
        <f t="shared" si="990"/>
        <v>0</v>
      </c>
      <c r="AE207" s="1068">
        <f t="shared" si="990"/>
        <v>0</v>
      </c>
      <c r="AF207" s="1068">
        <f t="shared" si="990"/>
        <v>0</v>
      </c>
      <c r="AG207" s="1068">
        <f t="shared" si="990"/>
        <v>0</v>
      </c>
      <c r="AH207" s="1068">
        <f t="shared" si="990"/>
        <v>0</v>
      </c>
      <c r="AI207" s="1068">
        <f t="shared" si="990"/>
        <v>0</v>
      </c>
      <c r="AJ207" s="1068">
        <f t="shared" si="990"/>
        <v>0</v>
      </c>
      <c r="AK207" s="1068">
        <f t="shared" si="990"/>
        <v>0</v>
      </c>
      <c r="AL207" s="1068">
        <f t="shared" si="990"/>
        <v>0</v>
      </c>
      <c r="AM207" s="1068">
        <f t="shared" ref="AM207" si="991">SUM(AM208:AM213)</f>
        <v>0</v>
      </c>
      <c r="AN207" s="1068">
        <f t="shared" ref="AN207" si="992">SUM(AN208:AN213)</f>
        <v>0</v>
      </c>
      <c r="AO207" s="1068">
        <f t="shared" ref="AO207" si="993">SUM(AO208:AO213)</f>
        <v>0</v>
      </c>
      <c r="AP207" s="1068">
        <f t="shared" ref="AP207" si="994">SUM(AP208:AP213)</f>
        <v>0</v>
      </c>
      <c r="AQ207" s="1068">
        <f t="shared" ref="AQ207" si="995">SUM(AQ208:AQ213)</f>
        <v>0</v>
      </c>
      <c r="AR207" s="1068">
        <f t="shared" ref="AR207" si="996">SUM(AR208:AR213)</f>
        <v>0</v>
      </c>
      <c r="AS207" s="1068">
        <f t="shared" ref="AS207" si="997">SUM(AS208:AS213)</f>
        <v>0</v>
      </c>
      <c r="AT207" s="1068">
        <f t="shared" ref="AT207" si="998">SUM(AT208:AT213)</f>
        <v>0</v>
      </c>
      <c r="AU207" s="1068">
        <f t="shared" ref="AU207" si="999">SUM(AU208:AU213)</f>
        <v>0</v>
      </c>
      <c r="AV207" s="1068">
        <f t="shared" ref="AV207" si="1000">SUM(AV208:AV213)</f>
        <v>0</v>
      </c>
      <c r="AW207" s="1068">
        <f t="shared" ref="AW207" si="1001">SUM(AW208:AW213)</f>
        <v>0</v>
      </c>
      <c r="AX207" s="1068">
        <f t="shared" ref="AX207" si="1002">SUM(AX208:AX213)</f>
        <v>0</v>
      </c>
      <c r="AY207" s="1068">
        <f t="shared" ref="AY207" si="1003">SUM(AY208:AY213)</f>
        <v>0</v>
      </c>
      <c r="AZ207" s="1068">
        <f t="shared" ref="AZ207" si="1004">SUM(AZ208:AZ213)</f>
        <v>0</v>
      </c>
      <c r="BA207" s="1068">
        <f t="shared" ref="BA207" si="1005">SUM(BA208:BA213)</f>
        <v>0</v>
      </c>
      <c r="BB207" s="1068">
        <f t="shared" ref="BB207" si="1006">SUM(BB208:BB213)</f>
        <v>0</v>
      </c>
      <c r="BC207" s="1068">
        <f t="shared" ref="BC207" si="1007">SUM(BC208:BC213)</f>
        <v>0</v>
      </c>
      <c r="BD207" s="1068">
        <f t="shared" ref="BD207" si="1008">SUM(BD208:BD213)</f>
        <v>0</v>
      </c>
      <c r="BE207" s="1068">
        <f t="shared" ref="BE207" si="1009">SUM(BE208:BE213)</f>
        <v>0</v>
      </c>
      <c r="BF207" s="1068">
        <f t="shared" ref="BF207" si="1010">SUM(BF208:BF213)</f>
        <v>0</v>
      </c>
      <c r="BG207" s="1068">
        <f t="shared" ref="BG207" si="1011">SUM(BG208:BG213)</f>
        <v>0</v>
      </c>
      <c r="BH207" s="1068">
        <f t="shared" ref="BH207" si="1012">SUM(BH208:BH213)</f>
        <v>0</v>
      </c>
      <c r="BI207" s="1069">
        <f t="shared" si="917"/>
        <v>0</v>
      </c>
      <c r="BJ207" s="1069">
        <f t="shared" si="918"/>
        <v>0</v>
      </c>
      <c r="BK207" s="1069">
        <f t="shared" si="919"/>
        <v>0</v>
      </c>
      <c r="BL207" s="1069">
        <f t="shared" si="920"/>
        <v>0</v>
      </c>
      <c r="BM207" s="1070"/>
    </row>
    <row r="208" spans="1:65" ht="27" thickTop="1" thickBot="1">
      <c r="A208" s="509"/>
      <c r="B208" s="509"/>
      <c r="C208" s="511"/>
      <c r="D208" s="511"/>
      <c r="E208" s="510"/>
      <c r="F208" s="510"/>
      <c r="G208" s="509"/>
      <c r="H208" s="1071" t="str">
        <f>+'Anexo 1 Matriz Inf Gestión-GD'!A212</f>
        <v>3204.01.01  Gestión de un área  viable de la red hidrometeorológica en  jurisdicción de Corpocesar</v>
      </c>
      <c r="I208" s="1072"/>
      <c r="J208" s="1072"/>
      <c r="K208" s="1072"/>
      <c r="L208" s="1072"/>
      <c r="M208" s="1072"/>
      <c r="N208" s="1072"/>
      <c r="O208" s="1072"/>
      <c r="P208" s="1072"/>
      <c r="Q208" s="1072"/>
      <c r="R208" s="1072"/>
      <c r="S208" s="1072"/>
      <c r="T208" s="1072"/>
      <c r="U208" s="1072"/>
      <c r="V208" s="1072"/>
      <c r="W208" s="1072"/>
      <c r="X208" s="1072"/>
      <c r="Y208" s="1072"/>
      <c r="Z208" s="1072"/>
      <c r="AA208" s="1072"/>
      <c r="AB208" s="1072"/>
      <c r="AC208" s="1072"/>
      <c r="AD208" s="1072"/>
      <c r="AE208" s="1072"/>
      <c r="AF208" s="1072"/>
      <c r="AG208" s="1072"/>
      <c r="AH208" s="1072"/>
      <c r="AI208" s="1072"/>
      <c r="AJ208" s="1072"/>
      <c r="AK208" s="1072"/>
      <c r="AL208" s="1072"/>
      <c r="AM208" s="1072"/>
      <c r="AN208" s="1072"/>
      <c r="AO208" s="1072"/>
      <c r="AP208" s="1072"/>
      <c r="AQ208" s="1072"/>
      <c r="AR208" s="1072"/>
      <c r="AS208" s="1072"/>
      <c r="AT208" s="1072"/>
      <c r="AU208" s="1072"/>
      <c r="AV208" s="1072"/>
      <c r="AW208" s="1072"/>
      <c r="AX208" s="1072"/>
      <c r="AY208" s="1072"/>
      <c r="AZ208" s="1072"/>
      <c r="BA208" s="1072"/>
      <c r="BB208" s="1072"/>
      <c r="BC208" s="1072"/>
      <c r="BD208" s="1072"/>
      <c r="BE208" s="1072"/>
      <c r="BF208" s="1072"/>
      <c r="BG208" s="1072"/>
      <c r="BH208" s="1072"/>
      <c r="BI208" s="1073">
        <f t="shared" si="917"/>
        <v>0</v>
      </c>
      <c r="BJ208" s="1073">
        <f t="shared" si="918"/>
        <v>0</v>
      </c>
      <c r="BK208" s="1073">
        <f t="shared" si="919"/>
        <v>0</v>
      </c>
      <c r="BL208" s="1073">
        <f t="shared" si="920"/>
        <v>0</v>
      </c>
      <c r="BM208" s="508"/>
    </row>
    <row r="209" spans="1:65" ht="27" thickTop="1" thickBot="1">
      <c r="A209" s="509"/>
      <c r="B209" s="509"/>
      <c r="C209" s="511"/>
      <c r="D209" s="511"/>
      <c r="E209" s="510"/>
      <c r="F209" s="510"/>
      <c r="G209" s="509"/>
      <c r="H209" s="1071" t="str">
        <f>+'Anexo 1 Matriz Inf Gestión-GD'!A213</f>
        <v>3204.01.02. Implementación de un área  viable de la red hidrometeorológica en  jurisdicción de Corpocesar y comunicación de información ambiental arrojada. .</v>
      </c>
      <c r="I209" s="1072"/>
      <c r="J209" s="1072"/>
      <c r="K209" s="1072"/>
      <c r="L209" s="1072"/>
      <c r="M209" s="1072"/>
      <c r="N209" s="1072"/>
      <c r="O209" s="1072"/>
      <c r="P209" s="1072"/>
      <c r="Q209" s="1072"/>
      <c r="R209" s="1072"/>
      <c r="S209" s="1072"/>
      <c r="T209" s="1072"/>
      <c r="U209" s="1072"/>
      <c r="V209" s="1072"/>
      <c r="W209" s="1072"/>
      <c r="X209" s="1072"/>
      <c r="Y209" s="1072"/>
      <c r="Z209" s="1072"/>
      <c r="AA209" s="1072"/>
      <c r="AB209" s="1072"/>
      <c r="AC209" s="1072"/>
      <c r="AD209" s="1072"/>
      <c r="AE209" s="1072"/>
      <c r="AF209" s="1072"/>
      <c r="AG209" s="1072"/>
      <c r="AH209" s="1072"/>
      <c r="AI209" s="1072"/>
      <c r="AJ209" s="1072"/>
      <c r="AK209" s="1072"/>
      <c r="AL209" s="1072"/>
      <c r="AM209" s="1072"/>
      <c r="AN209" s="1072"/>
      <c r="AO209" s="1072"/>
      <c r="AP209" s="1072"/>
      <c r="AQ209" s="1072"/>
      <c r="AR209" s="1072"/>
      <c r="AS209" s="1072"/>
      <c r="AT209" s="1072"/>
      <c r="AU209" s="1072"/>
      <c r="AV209" s="1072"/>
      <c r="AW209" s="1072"/>
      <c r="AX209" s="1072"/>
      <c r="AY209" s="1072"/>
      <c r="AZ209" s="1072"/>
      <c r="BA209" s="1072"/>
      <c r="BB209" s="1072"/>
      <c r="BC209" s="1072"/>
      <c r="BD209" s="1072"/>
      <c r="BE209" s="1072"/>
      <c r="BF209" s="1072"/>
      <c r="BG209" s="1072"/>
      <c r="BH209" s="1072"/>
      <c r="BI209" s="1073">
        <f t="shared" si="917"/>
        <v>0</v>
      </c>
      <c r="BJ209" s="1073">
        <f t="shared" si="918"/>
        <v>0</v>
      </c>
      <c r="BK209" s="1073">
        <f t="shared" si="919"/>
        <v>0</v>
      </c>
      <c r="BL209" s="1073">
        <f t="shared" si="920"/>
        <v>0</v>
      </c>
      <c r="BM209" s="508"/>
    </row>
    <row r="210" spans="1:65" ht="27" thickTop="1" thickBot="1">
      <c r="A210" s="509"/>
      <c r="B210" s="509"/>
      <c r="C210" s="511"/>
      <c r="D210" s="511"/>
      <c r="E210" s="510"/>
      <c r="F210" s="510"/>
      <c r="G210" s="509"/>
      <c r="H210" s="1071" t="str">
        <f>+'Anexo 1 Matriz Inf Gestión-GD'!A214</f>
        <v>3204.01.03  Gestion para la  implementación y operación de instrumentos de monitoreo de los Recursos Naturales</v>
      </c>
      <c r="I210" s="1072"/>
      <c r="J210" s="1072"/>
      <c r="K210" s="1072"/>
      <c r="L210" s="1072"/>
      <c r="M210" s="1072"/>
      <c r="N210" s="1072"/>
      <c r="O210" s="1072"/>
      <c r="P210" s="1072"/>
      <c r="Q210" s="1072"/>
      <c r="R210" s="1072"/>
      <c r="S210" s="1072"/>
      <c r="T210" s="1072"/>
      <c r="U210" s="1072"/>
      <c r="V210" s="1072"/>
      <c r="W210" s="1072"/>
      <c r="X210" s="1072"/>
      <c r="Y210" s="1072"/>
      <c r="Z210" s="1072"/>
      <c r="AA210" s="1072"/>
      <c r="AB210" s="1072"/>
      <c r="AC210" s="1072"/>
      <c r="AD210" s="1072"/>
      <c r="AE210" s="1072"/>
      <c r="AF210" s="1072"/>
      <c r="AG210" s="1072"/>
      <c r="AH210" s="1072"/>
      <c r="AI210" s="1072"/>
      <c r="AJ210" s="1072"/>
      <c r="AK210" s="1072"/>
      <c r="AL210" s="1072"/>
      <c r="AM210" s="1072"/>
      <c r="AN210" s="1072"/>
      <c r="AO210" s="1072"/>
      <c r="AP210" s="1072"/>
      <c r="AQ210" s="1072"/>
      <c r="AR210" s="1072"/>
      <c r="AS210" s="1072"/>
      <c r="AT210" s="1072"/>
      <c r="AU210" s="1072"/>
      <c r="AV210" s="1072"/>
      <c r="AW210" s="1072"/>
      <c r="AX210" s="1072"/>
      <c r="AY210" s="1072"/>
      <c r="AZ210" s="1072"/>
      <c r="BA210" s="1072"/>
      <c r="BB210" s="1072"/>
      <c r="BC210" s="1072"/>
      <c r="BD210" s="1072"/>
      <c r="BE210" s="1072"/>
      <c r="BF210" s="1072"/>
      <c r="BG210" s="1072"/>
      <c r="BH210" s="1072"/>
      <c r="BI210" s="1073">
        <f t="shared" si="917"/>
        <v>0</v>
      </c>
      <c r="BJ210" s="1073">
        <f t="shared" si="918"/>
        <v>0</v>
      </c>
      <c r="BK210" s="1073">
        <f t="shared" si="919"/>
        <v>0</v>
      </c>
      <c r="BL210" s="1073">
        <f t="shared" si="920"/>
        <v>0</v>
      </c>
      <c r="BM210" s="508"/>
    </row>
    <row r="211" spans="1:65" ht="27" thickTop="1" thickBot="1">
      <c r="A211" s="509"/>
      <c r="B211" s="509"/>
      <c r="C211" s="511"/>
      <c r="D211" s="511"/>
      <c r="E211" s="510"/>
      <c r="F211" s="510"/>
      <c r="G211" s="509"/>
      <c r="H211" s="1071" t="str">
        <f>+'Anexo 1 Matriz Inf Gestión-GD'!A215</f>
        <v>3204.01.04 Gestion para la  divulgación e incorporación de resultados de monitoreo de los Recursos Naturales al SIA regional</v>
      </c>
      <c r="I211" s="1072"/>
      <c r="J211" s="1072"/>
      <c r="K211" s="1072"/>
      <c r="L211" s="1072"/>
      <c r="M211" s="1072"/>
      <c r="N211" s="1072"/>
      <c r="O211" s="1072"/>
      <c r="P211" s="1072"/>
      <c r="Q211" s="1072"/>
      <c r="R211" s="1072"/>
      <c r="S211" s="1072"/>
      <c r="T211" s="1072"/>
      <c r="U211" s="1072"/>
      <c r="V211" s="1072"/>
      <c r="W211" s="1072"/>
      <c r="X211" s="1072"/>
      <c r="Y211" s="1072"/>
      <c r="Z211" s="1072"/>
      <c r="AA211" s="1072"/>
      <c r="AB211" s="1072"/>
      <c r="AC211" s="1072"/>
      <c r="AD211" s="1072"/>
      <c r="AE211" s="1072"/>
      <c r="AF211" s="1072"/>
      <c r="AG211" s="1072"/>
      <c r="AH211" s="1072"/>
      <c r="AI211" s="1072"/>
      <c r="AJ211" s="1072"/>
      <c r="AK211" s="1072"/>
      <c r="AL211" s="1072"/>
      <c r="AM211" s="1072"/>
      <c r="AN211" s="1072"/>
      <c r="AO211" s="1072"/>
      <c r="AP211" s="1072"/>
      <c r="AQ211" s="1072"/>
      <c r="AR211" s="1072"/>
      <c r="AS211" s="1072"/>
      <c r="AT211" s="1072"/>
      <c r="AU211" s="1072"/>
      <c r="AV211" s="1072"/>
      <c r="AW211" s="1072"/>
      <c r="AX211" s="1072"/>
      <c r="AY211" s="1072"/>
      <c r="AZ211" s="1072"/>
      <c r="BA211" s="1072"/>
      <c r="BB211" s="1072"/>
      <c r="BC211" s="1072"/>
      <c r="BD211" s="1072"/>
      <c r="BE211" s="1072"/>
      <c r="BF211" s="1072"/>
      <c r="BG211" s="1072"/>
      <c r="BH211" s="1072"/>
      <c r="BI211" s="1073">
        <f t="shared" si="917"/>
        <v>0</v>
      </c>
      <c r="BJ211" s="1073">
        <f t="shared" si="918"/>
        <v>0</v>
      </c>
      <c r="BK211" s="1073">
        <f t="shared" si="919"/>
        <v>0</v>
      </c>
      <c r="BL211" s="1073">
        <f t="shared" si="920"/>
        <v>0</v>
      </c>
      <c r="BM211" s="508"/>
    </row>
    <row r="212" spans="1:65" ht="16.5" thickTop="1" thickBot="1">
      <c r="A212" s="509"/>
      <c r="B212" s="509"/>
      <c r="C212" s="511"/>
      <c r="D212" s="511"/>
      <c r="E212" s="510"/>
      <c r="F212" s="510"/>
      <c r="G212" s="509"/>
      <c r="H212" s="1071" t="str">
        <f>+'Anexo 1 Matriz Inf Gestión-GD'!A216</f>
        <v>3204.01.05 Fortalecimiento del SIA regional</v>
      </c>
      <c r="I212" s="1072"/>
      <c r="J212" s="1072"/>
      <c r="K212" s="1072"/>
      <c r="L212" s="1072"/>
      <c r="M212" s="1072"/>
      <c r="N212" s="1072"/>
      <c r="O212" s="1072"/>
      <c r="P212" s="1072"/>
      <c r="Q212" s="1072"/>
      <c r="R212" s="1072"/>
      <c r="S212" s="1072"/>
      <c r="T212" s="1072"/>
      <c r="U212" s="1072"/>
      <c r="V212" s="1072"/>
      <c r="W212" s="1072"/>
      <c r="X212" s="1072"/>
      <c r="Y212" s="1072"/>
      <c r="Z212" s="1072"/>
      <c r="AA212" s="1072"/>
      <c r="AB212" s="1072"/>
      <c r="AC212" s="1072"/>
      <c r="AD212" s="1072"/>
      <c r="AE212" s="1072"/>
      <c r="AF212" s="1072"/>
      <c r="AG212" s="1072"/>
      <c r="AH212" s="1072"/>
      <c r="AI212" s="1072"/>
      <c r="AJ212" s="1072"/>
      <c r="AK212" s="1072"/>
      <c r="AL212" s="1072"/>
      <c r="AM212" s="1072"/>
      <c r="AN212" s="1072"/>
      <c r="AO212" s="1072"/>
      <c r="AP212" s="1072"/>
      <c r="AQ212" s="1072"/>
      <c r="AR212" s="1072"/>
      <c r="AS212" s="1072"/>
      <c r="AT212" s="1072"/>
      <c r="AU212" s="1072"/>
      <c r="AV212" s="1072"/>
      <c r="AW212" s="1072"/>
      <c r="AX212" s="1072"/>
      <c r="AY212" s="1072"/>
      <c r="AZ212" s="1072"/>
      <c r="BA212" s="1072"/>
      <c r="BB212" s="1072"/>
      <c r="BC212" s="1072"/>
      <c r="BD212" s="1072"/>
      <c r="BE212" s="1072"/>
      <c r="BF212" s="1072"/>
      <c r="BG212" s="1072"/>
      <c r="BH212" s="1072"/>
      <c r="BI212" s="1073">
        <f t="shared" si="917"/>
        <v>0</v>
      </c>
      <c r="BJ212" s="1073">
        <f t="shared" si="918"/>
        <v>0</v>
      </c>
      <c r="BK212" s="1073">
        <f t="shared" si="919"/>
        <v>0</v>
      </c>
      <c r="BL212" s="1073">
        <f t="shared" si="920"/>
        <v>0</v>
      </c>
      <c r="BM212" s="508"/>
    </row>
    <row r="213" spans="1:65" ht="39.75" thickTop="1" thickBot="1">
      <c r="A213" s="509"/>
      <c r="B213" s="509"/>
      <c r="C213" s="511"/>
      <c r="D213" s="511"/>
      <c r="E213" s="510"/>
      <c r="F213" s="510"/>
      <c r="G213" s="509"/>
      <c r="H213" s="1071" t="str">
        <f>+'Anexo 1 Matriz Inf Gestión-GD'!A217</f>
        <v>3204.01.06 Evaluación de la Evolución dinámica del PGAR y los impactos de la gestión ambiental sobre la sostenibilidad del desarrollo socio-económico y los Indicadores Mínimos de Gestión</v>
      </c>
      <c r="I213" s="1072"/>
      <c r="J213" s="1072"/>
      <c r="K213" s="1072"/>
      <c r="L213" s="1072"/>
      <c r="M213" s="1072"/>
      <c r="N213" s="1072"/>
      <c r="O213" s="1072"/>
      <c r="P213" s="1072"/>
      <c r="Q213" s="1072"/>
      <c r="R213" s="1072"/>
      <c r="S213" s="1072"/>
      <c r="T213" s="1072"/>
      <c r="U213" s="1072"/>
      <c r="V213" s="1072"/>
      <c r="W213" s="1072"/>
      <c r="X213" s="1072"/>
      <c r="Y213" s="1072"/>
      <c r="Z213" s="1072"/>
      <c r="AA213" s="1072"/>
      <c r="AB213" s="1072"/>
      <c r="AC213" s="1072"/>
      <c r="AD213" s="1072"/>
      <c r="AE213" s="1072"/>
      <c r="AF213" s="1072"/>
      <c r="AG213" s="1072"/>
      <c r="AH213" s="1072"/>
      <c r="AI213" s="1072"/>
      <c r="AJ213" s="1072"/>
      <c r="AK213" s="1072"/>
      <c r="AL213" s="1072"/>
      <c r="AM213" s="1072"/>
      <c r="AN213" s="1072"/>
      <c r="AO213" s="1072"/>
      <c r="AP213" s="1072"/>
      <c r="AQ213" s="1072"/>
      <c r="AR213" s="1072"/>
      <c r="AS213" s="1072"/>
      <c r="AT213" s="1072"/>
      <c r="AU213" s="1072"/>
      <c r="AV213" s="1072"/>
      <c r="AW213" s="1072"/>
      <c r="AX213" s="1072"/>
      <c r="AY213" s="1072"/>
      <c r="AZ213" s="1072"/>
      <c r="BA213" s="1072"/>
      <c r="BB213" s="1072"/>
      <c r="BC213" s="1072"/>
      <c r="BD213" s="1072"/>
      <c r="BE213" s="1072"/>
      <c r="BF213" s="1072"/>
      <c r="BG213" s="1072"/>
      <c r="BH213" s="1072"/>
      <c r="BI213" s="1073">
        <f t="shared" si="917"/>
        <v>0</v>
      </c>
      <c r="BJ213" s="1073">
        <f t="shared" si="918"/>
        <v>0</v>
      </c>
      <c r="BK213" s="1073">
        <f t="shared" si="919"/>
        <v>0</v>
      </c>
      <c r="BL213" s="1073">
        <f t="shared" si="920"/>
        <v>0</v>
      </c>
      <c r="BM213" s="508"/>
    </row>
    <row r="214" spans="1:65" ht="39.75" thickTop="1" thickBot="1">
      <c r="A214" s="1066"/>
      <c r="B214" s="1066"/>
      <c r="C214" s="1066"/>
      <c r="D214" s="1066"/>
      <c r="E214" s="1077"/>
      <c r="F214" s="1077"/>
      <c r="G214" s="1078"/>
      <c r="H214" s="1067" t="str">
        <f>+'Anexo 1 Matriz Inf Gestión-GD'!A218</f>
        <v>Proyecto 3204.02 Implementación de la estrategia  de Comunicación política de la gestión ambiental para la divulgación interinstitucional y  aprehensión ciudadana al sector ambiental</v>
      </c>
      <c r="I214" s="1068">
        <f>SUM(I215:I218)</f>
        <v>0</v>
      </c>
      <c r="J214" s="1068">
        <f t="shared" ref="J214:AL214" si="1013">SUM(J215:J218)</f>
        <v>0</v>
      </c>
      <c r="K214" s="1068">
        <f t="shared" si="1013"/>
        <v>0</v>
      </c>
      <c r="L214" s="1068">
        <f t="shared" si="1013"/>
        <v>0</v>
      </c>
      <c r="M214" s="1068">
        <f t="shared" si="1013"/>
        <v>0</v>
      </c>
      <c r="N214" s="1068">
        <f t="shared" si="1013"/>
        <v>0</v>
      </c>
      <c r="O214" s="1068">
        <f t="shared" si="1013"/>
        <v>0</v>
      </c>
      <c r="P214" s="1068">
        <f t="shared" si="1013"/>
        <v>0</v>
      </c>
      <c r="Q214" s="1068">
        <f t="shared" si="1013"/>
        <v>0</v>
      </c>
      <c r="R214" s="1068">
        <f t="shared" si="1013"/>
        <v>0</v>
      </c>
      <c r="S214" s="1068">
        <f t="shared" si="1013"/>
        <v>0</v>
      </c>
      <c r="T214" s="1068">
        <f t="shared" si="1013"/>
        <v>0</v>
      </c>
      <c r="U214" s="1068">
        <f t="shared" si="1013"/>
        <v>0</v>
      </c>
      <c r="V214" s="1068">
        <f t="shared" si="1013"/>
        <v>0</v>
      </c>
      <c r="W214" s="1068">
        <f t="shared" si="1013"/>
        <v>0</v>
      </c>
      <c r="X214" s="1068">
        <f t="shared" si="1013"/>
        <v>0</v>
      </c>
      <c r="Y214" s="1068">
        <f t="shared" si="1013"/>
        <v>0</v>
      </c>
      <c r="Z214" s="1068">
        <f t="shared" si="1013"/>
        <v>0</v>
      </c>
      <c r="AA214" s="1068">
        <f t="shared" si="1013"/>
        <v>0</v>
      </c>
      <c r="AB214" s="1068">
        <f t="shared" si="1013"/>
        <v>0</v>
      </c>
      <c r="AC214" s="1068">
        <f t="shared" si="1013"/>
        <v>0</v>
      </c>
      <c r="AD214" s="1068">
        <f t="shared" si="1013"/>
        <v>0</v>
      </c>
      <c r="AE214" s="1068">
        <f t="shared" si="1013"/>
        <v>0</v>
      </c>
      <c r="AF214" s="1068">
        <f t="shared" si="1013"/>
        <v>0</v>
      </c>
      <c r="AG214" s="1068">
        <f t="shared" si="1013"/>
        <v>0</v>
      </c>
      <c r="AH214" s="1068">
        <f t="shared" si="1013"/>
        <v>0</v>
      </c>
      <c r="AI214" s="1068">
        <f t="shared" si="1013"/>
        <v>0</v>
      </c>
      <c r="AJ214" s="1068">
        <f t="shared" si="1013"/>
        <v>0</v>
      </c>
      <c r="AK214" s="1068">
        <f t="shared" si="1013"/>
        <v>0</v>
      </c>
      <c r="AL214" s="1068">
        <f t="shared" si="1013"/>
        <v>0</v>
      </c>
      <c r="AM214" s="1068">
        <f t="shared" ref="AM214" si="1014">SUM(AM215:AM218)</f>
        <v>0</v>
      </c>
      <c r="AN214" s="1068">
        <f t="shared" ref="AN214" si="1015">SUM(AN215:AN218)</f>
        <v>0</v>
      </c>
      <c r="AO214" s="1068">
        <f t="shared" ref="AO214" si="1016">SUM(AO215:AO218)</f>
        <v>0</v>
      </c>
      <c r="AP214" s="1068">
        <f t="shared" ref="AP214" si="1017">SUM(AP215:AP218)</f>
        <v>0</v>
      </c>
      <c r="AQ214" s="1068">
        <f t="shared" ref="AQ214" si="1018">SUM(AQ215:AQ218)</f>
        <v>0</v>
      </c>
      <c r="AR214" s="1068">
        <f t="shared" ref="AR214" si="1019">SUM(AR215:AR218)</f>
        <v>0</v>
      </c>
      <c r="AS214" s="1068">
        <f t="shared" ref="AS214" si="1020">SUM(AS215:AS218)</f>
        <v>0</v>
      </c>
      <c r="AT214" s="1068">
        <f t="shared" ref="AT214" si="1021">SUM(AT215:AT218)</f>
        <v>0</v>
      </c>
      <c r="AU214" s="1068">
        <f t="shared" ref="AU214" si="1022">SUM(AU215:AU218)</f>
        <v>0</v>
      </c>
      <c r="AV214" s="1068">
        <f t="shared" ref="AV214" si="1023">SUM(AV215:AV218)</f>
        <v>0</v>
      </c>
      <c r="AW214" s="1068">
        <f t="shared" ref="AW214" si="1024">SUM(AW215:AW218)</f>
        <v>0</v>
      </c>
      <c r="AX214" s="1068">
        <f t="shared" ref="AX214" si="1025">SUM(AX215:AX218)</f>
        <v>0</v>
      </c>
      <c r="AY214" s="1068">
        <f t="shared" ref="AY214" si="1026">SUM(AY215:AY218)</f>
        <v>0</v>
      </c>
      <c r="AZ214" s="1068">
        <f t="shared" ref="AZ214" si="1027">SUM(AZ215:AZ218)</f>
        <v>0</v>
      </c>
      <c r="BA214" s="1068">
        <f t="shared" ref="BA214" si="1028">SUM(BA215:BA218)</f>
        <v>0</v>
      </c>
      <c r="BB214" s="1068">
        <f t="shared" ref="BB214" si="1029">SUM(BB215:BB218)</f>
        <v>0</v>
      </c>
      <c r="BC214" s="1068">
        <f t="shared" ref="BC214" si="1030">SUM(BC215:BC218)</f>
        <v>0</v>
      </c>
      <c r="BD214" s="1068">
        <f t="shared" ref="BD214" si="1031">SUM(BD215:BD218)</f>
        <v>0</v>
      </c>
      <c r="BE214" s="1068">
        <f t="shared" ref="BE214" si="1032">SUM(BE215:BE218)</f>
        <v>0</v>
      </c>
      <c r="BF214" s="1068">
        <f t="shared" ref="BF214" si="1033">SUM(BF215:BF218)</f>
        <v>0</v>
      </c>
      <c r="BG214" s="1068">
        <f t="shared" ref="BG214" si="1034">SUM(BG215:BG218)</f>
        <v>0</v>
      </c>
      <c r="BH214" s="1068">
        <f t="shared" ref="BH214" si="1035">SUM(BH215:BH218)</f>
        <v>0</v>
      </c>
      <c r="BI214" s="1069">
        <f t="shared" si="917"/>
        <v>0</v>
      </c>
      <c r="BJ214" s="1069">
        <f t="shared" si="918"/>
        <v>0</v>
      </c>
      <c r="BK214" s="1069">
        <f t="shared" si="919"/>
        <v>0</v>
      </c>
      <c r="BL214" s="1069">
        <f t="shared" si="920"/>
        <v>0</v>
      </c>
      <c r="BM214" s="1070"/>
    </row>
    <row r="215" spans="1:65" ht="27" thickTop="1" thickBot="1">
      <c r="A215" s="509"/>
      <c r="B215" s="509"/>
      <c r="C215" s="511"/>
      <c r="D215" s="511"/>
      <c r="E215" s="510"/>
      <c r="F215" s="510"/>
      <c r="G215" s="509"/>
      <c r="H215" s="1071" t="str">
        <f>+'Anexo 1 Matriz Inf Gestión-GD'!A219</f>
        <v>3204.02.01 Comunicación y cultura ciudadana para desincentivar el uso de productos plástico de un solo uso e icopor.</v>
      </c>
      <c r="I215" s="1072"/>
      <c r="J215" s="1072"/>
      <c r="K215" s="1072"/>
      <c r="L215" s="1072"/>
      <c r="M215" s="1072"/>
      <c r="N215" s="1072"/>
      <c r="O215" s="1072"/>
      <c r="P215" s="1072"/>
      <c r="Q215" s="1072"/>
      <c r="R215" s="1072"/>
      <c r="S215" s="1072"/>
      <c r="T215" s="1072"/>
      <c r="U215" s="1072"/>
      <c r="V215" s="1072"/>
      <c r="W215" s="1072"/>
      <c r="X215" s="1072"/>
      <c r="Y215" s="1072"/>
      <c r="Z215" s="1072"/>
      <c r="AA215" s="1072"/>
      <c r="AB215" s="1072"/>
      <c r="AC215" s="1072"/>
      <c r="AD215" s="1072"/>
      <c r="AE215" s="1072"/>
      <c r="AF215" s="1072"/>
      <c r="AG215" s="1072"/>
      <c r="AH215" s="1072"/>
      <c r="AI215" s="1072"/>
      <c r="AJ215" s="1072"/>
      <c r="AK215" s="1072"/>
      <c r="AL215" s="1072"/>
      <c r="AM215" s="1072"/>
      <c r="AN215" s="1072"/>
      <c r="AO215" s="1072"/>
      <c r="AP215" s="1072"/>
      <c r="AQ215" s="1072"/>
      <c r="AR215" s="1072"/>
      <c r="AS215" s="1072"/>
      <c r="AT215" s="1072"/>
      <c r="AU215" s="1072"/>
      <c r="AV215" s="1072"/>
      <c r="AW215" s="1072"/>
      <c r="AX215" s="1072"/>
      <c r="AY215" s="1072"/>
      <c r="AZ215" s="1072"/>
      <c r="BA215" s="1072"/>
      <c r="BB215" s="1072"/>
      <c r="BC215" s="1072"/>
      <c r="BD215" s="1072"/>
      <c r="BE215" s="1072"/>
      <c r="BF215" s="1072"/>
      <c r="BG215" s="1072"/>
      <c r="BH215" s="1072"/>
      <c r="BI215" s="1073">
        <f t="shared" si="917"/>
        <v>0</v>
      </c>
      <c r="BJ215" s="1073">
        <f t="shared" si="918"/>
        <v>0</v>
      </c>
      <c r="BK215" s="1073">
        <f t="shared" si="919"/>
        <v>0</v>
      </c>
      <c r="BL215" s="1073">
        <f t="shared" si="920"/>
        <v>0</v>
      </c>
      <c r="BM215" s="508"/>
    </row>
    <row r="216" spans="1:65" ht="27" thickTop="1" thickBot="1">
      <c r="A216" s="509"/>
      <c r="B216" s="509"/>
      <c r="C216" s="511"/>
      <c r="D216" s="511"/>
      <c r="E216" s="510"/>
      <c r="F216" s="510"/>
      <c r="G216" s="509"/>
      <c r="H216" s="1071" t="str">
        <f>+'Anexo 1 Matriz Inf Gestión-GD'!A220</f>
        <v>3204.02.03 Uso inteligente de las redes sociales para la promoción de medidas de concienciación ambiental y comunicaciones de eventos y acciones</v>
      </c>
      <c r="I216" s="1072"/>
      <c r="J216" s="1072"/>
      <c r="K216" s="1072"/>
      <c r="L216" s="1072"/>
      <c r="M216" s="1072"/>
      <c r="N216" s="1072"/>
      <c r="O216" s="1072"/>
      <c r="P216" s="1072"/>
      <c r="Q216" s="1072"/>
      <c r="R216" s="1072"/>
      <c r="S216" s="1072"/>
      <c r="T216" s="1072"/>
      <c r="U216" s="1072"/>
      <c r="V216" s="1072"/>
      <c r="W216" s="1072"/>
      <c r="X216" s="1072"/>
      <c r="Y216" s="1072"/>
      <c r="Z216" s="1072"/>
      <c r="AA216" s="1072"/>
      <c r="AB216" s="1072"/>
      <c r="AC216" s="1072"/>
      <c r="AD216" s="1072"/>
      <c r="AE216" s="1072"/>
      <c r="AF216" s="1072"/>
      <c r="AG216" s="1072"/>
      <c r="AH216" s="1072"/>
      <c r="AI216" s="1072"/>
      <c r="AJ216" s="1072"/>
      <c r="AK216" s="1072"/>
      <c r="AL216" s="1072"/>
      <c r="AM216" s="1072"/>
      <c r="AN216" s="1072"/>
      <c r="AO216" s="1072"/>
      <c r="AP216" s="1072"/>
      <c r="AQ216" s="1072"/>
      <c r="AR216" s="1072"/>
      <c r="AS216" s="1072"/>
      <c r="AT216" s="1072"/>
      <c r="AU216" s="1072"/>
      <c r="AV216" s="1072"/>
      <c r="AW216" s="1072"/>
      <c r="AX216" s="1072"/>
      <c r="AY216" s="1072"/>
      <c r="AZ216" s="1072"/>
      <c r="BA216" s="1072"/>
      <c r="BB216" s="1072"/>
      <c r="BC216" s="1072"/>
      <c r="BD216" s="1072"/>
      <c r="BE216" s="1072"/>
      <c r="BF216" s="1072"/>
      <c r="BG216" s="1072"/>
      <c r="BH216" s="1072"/>
      <c r="BI216" s="1073">
        <f t="shared" si="917"/>
        <v>0</v>
      </c>
      <c r="BJ216" s="1073">
        <f t="shared" si="918"/>
        <v>0</v>
      </c>
      <c r="BK216" s="1073">
        <f t="shared" si="919"/>
        <v>0</v>
      </c>
      <c r="BL216" s="1073">
        <f t="shared" si="920"/>
        <v>0</v>
      </c>
      <c r="BM216" s="508"/>
    </row>
    <row r="217" spans="1:65" ht="27" thickTop="1" thickBot="1">
      <c r="A217" s="509"/>
      <c r="B217" s="509"/>
      <c r="C217" s="511"/>
      <c r="D217" s="511"/>
      <c r="E217" s="510"/>
      <c r="F217" s="510"/>
      <c r="G217" s="509"/>
      <c r="H217" s="1071" t="str">
        <f>+'Anexo 1 Matriz Inf Gestión-GD'!A221</f>
        <v>3204.02.04 Planeación, gestión y optimización del plan de medios (radio, TV, prensa, etc)</v>
      </c>
      <c r="I217" s="1072"/>
      <c r="J217" s="1072"/>
      <c r="K217" s="1072"/>
      <c r="L217" s="1072"/>
      <c r="M217" s="1072"/>
      <c r="N217" s="1072"/>
      <c r="O217" s="1072"/>
      <c r="P217" s="1072"/>
      <c r="Q217" s="1072"/>
      <c r="R217" s="1072"/>
      <c r="S217" s="1072"/>
      <c r="T217" s="1072"/>
      <c r="U217" s="1072"/>
      <c r="V217" s="1072"/>
      <c r="W217" s="1072"/>
      <c r="X217" s="1072"/>
      <c r="Y217" s="1072"/>
      <c r="Z217" s="1072"/>
      <c r="AA217" s="1072"/>
      <c r="AB217" s="1072"/>
      <c r="AC217" s="1072"/>
      <c r="AD217" s="1072"/>
      <c r="AE217" s="1072"/>
      <c r="AF217" s="1072"/>
      <c r="AG217" s="1072"/>
      <c r="AH217" s="1072"/>
      <c r="AI217" s="1072"/>
      <c r="AJ217" s="1072"/>
      <c r="AK217" s="1072"/>
      <c r="AL217" s="1072"/>
      <c r="AM217" s="1072"/>
      <c r="AN217" s="1072"/>
      <c r="AO217" s="1072"/>
      <c r="AP217" s="1072"/>
      <c r="AQ217" s="1072"/>
      <c r="AR217" s="1072"/>
      <c r="AS217" s="1072"/>
      <c r="AT217" s="1072"/>
      <c r="AU217" s="1072"/>
      <c r="AV217" s="1072"/>
      <c r="AW217" s="1072"/>
      <c r="AX217" s="1072"/>
      <c r="AY217" s="1072"/>
      <c r="AZ217" s="1072"/>
      <c r="BA217" s="1072"/>
      <c r="BB217" s="1072"/>
      <c r="BC217" s="1072"/>
      <c r="BD217" s="1072"/>
      <c r="BE217" s="1072"/>
      <c r="BF217" s="1072"/>
      <c r="BG217" s="1072"/>
      <c r="BH217" s="1072"/>
      <c r="BI217" s="1073">
        <f t="shared" si="917"/>
        <v>0</v>
      </c>
      <c r="BJ217" s="1073">
        <f t="shared" si="918"/>
        <v>0</v>
      </c>
      <c r="BK217" s="1073">
        <f t="shared" si="919"/>
        <v>0</v>
      </c>
      <c r="BL217" s="1073">
        <f t="shared" si="920"/>
        <v>0</v>
      </c>
      <c r="BM217" s="508"/>
    </row>
    <row r="218" spans="1:65" ht="27" thickTop="1" thickBot="1">
      <c r="A218" s="509"/>
      <c r="B218" s="509"/>
      <c r="C218" s="511"/>
      <c r="D218" s="511"/>
      <c r="E218" s="510"/>
      <c r="F218" s="510"/>
      <c r="G218" s="509"/>
      <c r="H218" s="1071" t="str">
        <f>+'Anexo 1 Matriz Inf Gestión-GD'!A222</f>
        <v>3204.02.02 Consecución de reportes de la gestión a través de ASOCARS y entidades adscritas al sector.</v>
      </c>
      <c r="I218" s="1072"/>
      <c r="J218" s="1072"/>
      <c r="K218" s="1072"/>
      <c r="L218" s="1072"/>
      <c r="M218" s="1072"/>
      <c r="N218" s="1072"/>
      <c r="O218" s="1072"/>
      <c r="P218" s="1072"/>
      <c r="Q218" s="1072"/>
      <c r="R218" s="1072"/>
      <c r="S218" s="1072"/>
      <c r="T218" s="1072"/>
      <c r="U218" s="1072"/>
      <c r="V218" s="1072"/>
      <c r="W218" s="1072"/>
      <c r="X218" s="1072"/>
      <c r="Y218" s="1072"/>
      <c r="Z218" s="1072"/>
      <c r="AA218" s="1072"/>
      <c r="AB218" s="1072"/>
      <c r="AC218" s="1072"/>
      <c r="AD218" s="1072"/>
      <c r="AE218" s="1072"/>
      <c r="AF218" s="1072"/>
      <c r="AG218" s="1072"/>
      <c r="AH218" s="1072"/>
      <c r="AI218" s="1072"/>
      <c r="AJ218" s="1072"/>
      <c r="AK218" s="1072"/>
      <c r="AL218" s="1072"/>
      <c r="AM218" s="1072"/>
      <c r="AN218" s="1072"/>
      <c r="AO218" s="1072"/>
      <c r="AP218" s="1072"/>
      <c r="AQ218" s="1072"/>
      <c r="AR218" s="1072"/>
      <c r="AS218" s="1072"/>
      <c r="AT218" s="1072"/>
      <c r="AU218" s="1072"/>
      <c r="AV218" s="1072"/>
      <c r="AW218" s="1072"/>
      <c r="AX218" s="1072"/>
      <c r="AY218" s="1072"/>
      <c r="AZ218" s="1072"/>
      <c r="BA218" s="1072"/>
      <c r="BB218" s="1072"/>
      <c r="BC218" s="1072"/>
      <c r="BD218" s="1072"/>
      <c r="BE218" s="1072"/>
      <c r="BF218" s="1072"/>
      <c r="BG218" s="1072"/>
      <c r="BH218" s="1072"/>
      <c r="BI218" s="1073">
        <f t="shared" si="917"/>
        <v>0</v>
      </c>
      <c r="BJ218" s="1073">
        <f t="shared" si="918"/>
        <v>0</v>
      </c>
      <c r="BK218" s="1073">
        <f t="shared" si="919"/>
        <v>0</v>
      </c>
      <c r="BL218" s="1073">
        <f t="shared" si="920"/>
        <v>0</v>
      </c>
      <c r="BM218" s="508"/>
    </row>
    <row r="219" spans="1:65" ht="15.75" thickTop="1"/>
  </sheetData>
  <autoFilter ref="A1:BM161">
    <filterColumn colId="8" showButton="0"/>
    <filterColumn colId="9" showButton="0"/>
    <filterColumn colId="10" showButton="0"/>
    <filterColumn colId="60" showButton="0"/>
    <filterColumn colId="61" showButton="0"/>
    <filterColumn colId="62" showButton="0"/>
  </autoFilter>
  <mergeCells count="22">
    <mergeCell ref="BI1:BL1"/>
    <mergeCell ref="AW1:AZ1"/>
    <mergeCell ref="BA1:BD1"/>
    <mergeCell ref="BE1:BH1"/>
    <mergeCell ref="Y1:AB1"/>
    <mergeCell ref="AC1:AF1"/>
    <mergeCell ref="AG1:AJ1"/>
    <mergeCell ref="AK1:AN1"/>
    <mergeCell ref="AO1:AR1"/>
    <mergeCell ref="AS1:AV1"/>
    <mergeCell ref="U1:X1"/>
    <mergeCell ref="A1:A2"/>
    <mergeCell ref="B1:B2"/>
    <mergeCell ref="C1:C2"/>
    <mergeCell ref="D1:D2"/>
    <mergeCell ref="E1:E2"/>
    <mergeCell ref="F1:F2"/>
    <mergeCell ref="G1:G2"/>
    <mergeCell ref="H1:H2"/>
    <mergeCell ref="I1:L1"/>
    <mergeCell ref="M1:P1"/>
    <mergeCell ref="Q1:T1"/>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showGridLines="0" zoomScale="66" zoomScaleNormal="66" workbookViewId="0">
      <selection sqref="A1:P1"/>
    </sheetView>
  </sheetViews>
  <sheetFormatPr baseColWidth="10" defaultRowHeight="15"/>
  <cols>
    <col min="1" max="1" width="3.5703125" style="1088" bestFit="1" customWidth="1"/>
    <col min="2" max="2" width="62.42578125" style="1088" customWidth="1"/>
    <col min="3" max="3" width="13.42578125" style="1088" customWidth="1"/>
    <col min="4" max="4" width="16.140625" style="1088" customWidth="1"/>
    <col min="5" max="6" width="6.5703125" style="1088" bestFit="1" customWidth="1"/>
    <col min="7" max="7" width="3.5703125" style="1088" customWidth="1"/>
    <col min="8" max="8" width="25.140625" style="1088" customWidth="1"/>
    <col min="9" max="9" width="30.85546875" style="1088" customWidth="1"/>
    <col min="10" max="10" width="20.42578125" style="1088" customWidth="1"/>
    <col min="11" max="11" width="4.28515625" style="1088" customWidth="1"/>
    <col min="12" max="12" width="15" style="1088" customWidth="1"/>
    <col min="13" max="13" width="33.85546875" style="1088" bestFit="1" customWidth="1"/>
    <col min="14" max="14" width="22.42578125" style="1088" customWidth="1"/>
    <col min="15" max="15" width="1.85546875" style="1088" customWidth="1"/>
    <col min="16" max="16" width="11.42578125" style="1088" customWidth="1"/>
    <col min="17" max="16384" width="11.42578125" style="1088"/>
  </cols>
  <sheetData>
    <row r="1" spans="1:18" s="490" customFormat="1" ht="15.75" thickBot="1">
      <c r="A1" s="1334"/>
      <c r="B1" s="1335"/>
      <c r="C1" s="1335"/>
      <c r="D1" s="1335"/>
      <c r="E1" s="1335"/>
      <c r="F1" s="1335"/>
      <c r="G1" s="1335"/>
      <c r="H1" s="1335"/>
      <c r="I1" s="1335"/>
      <c r="J1" s="1335"/>
      <c r="K1" s="1335"/>
      <c r="L1" s="1335"/>
      <c r="M1" s="1335"/>
      <c r="N1" s="1335"/>
      <c r="O1" s="1335"/>
      <c r="P1" s="1336"/>
      <c r="Q1" s="1088"/>
      <c r="R1" s="1088"/>
    </row>
    <row r="2" spans="1:18" s="587" customFormat="1" ht="16.5" thickBot="1">
      <c r="A2" s="1342" t="str">
        <f>'Datos Generales'!C5</f>
        <v>Corporación Autónoma Regional del Cesar – CORPOCESAR</v>
      </c>
      <c r="B2" s="1343"/>
      <c r="C2" s="1343"/>
      <c r="D2" s="1343"/>
      <c r="E2" s="1343"/>
      <c r="F2" s="1343"/>
      <c r="G2" s="1343"/>
      <c r="H2" s="1343"/>
      <c r="I2" s="1343"/>
      <c r="J2" s="1343"/>
      <c r="K2" s="1343"/>
      <c r="L2" s="1343"/>
      <c r="M2" s="1343"/>
      <c r="N2" s="1343"/>
      <c r="O2" s="1343"/>
      <c r="P2" s="1344"/>
      <c r="Q2" s="1088"/>
      <c r="R2" s="1088"/>
    </row>
    <row r="3" spans="1:18" s="587" customFormat="1" ht="16.5" thickBot="1">
      <c r="A3" s="1337" t="s">
        <v>1294</v>
      </c>
      <c r="B3" s="1338"/>
      <c r="C3" s="1338"/>
      <c r="D3" s="1338"/>
      <c r="E3" s="1338"/>
      <c r="F3" s="1338"/>
      <c r="G3" s="1338"/>
      <c r="H3" s="1338"/>
      <c r="I3" s="1338"/>
      <c r="J3" s="1338"/>
      <c r="K3" s="1338"/>
      <c r="L3" s="1338"/>
      <c r="M3" s="1338"/>
      <c r="N3" s="1338"/>
      <c r="O3" s="1338"/>
      <c r="P3" s="1339"/>
      <c r="Q3" s="1088"/>
      <c r="R3" s="1088"/>
    </row>
    <row r="4" spans="1:18" s="587" customFormat="1" ht="16.5" thickBot="1">
      <c r="A4" s="1340" t="s">
        <v>1293</v>
      </c>
      <c r="B4" s="1341"/>
      <c r="C4" s="1116"/>
      <c r="D4" s="498">
        <v>2021</v>
      </c>
      <c r="E4" s="498"/>
      <c r="F4" s="498"/>
      <c r="G4" s="498"/>
      <c r="H4" s="498"/>
      <c r="I4" s="498"/>
      <c r="J4" s="498"/>
      <c r="K4" s="498"/>
      <c r="L4" s="499"/>
      <c r="M4" s="499"/>
      <c r="N4" s="499"/>
      <c r="O4" s="499"/>
      <c r="P4" s="500"/>
      <c r="Q4" s="1088"/>
      <c r="R4" s="1088"/>
    </row>
    <row r="5" spans="1:18" ht="24">
      <c r="A5" s="1188" t="s">
        <v>19</v>
      </c>
      <c r="B5" s="1188" t="s">
        <v>1179</v>
      </c>
      <c r="C5" s="1189">
        <v>2020</v>
      </c>
      <c r="D5" s="1119">
        <v>2021</v>
      </c>
      <c r="E5" s="1189">
        <v>2022</v>
      </c>
      <c r="F5" s="1189">
        <v>2023</v>
      </c>
      <c r="H5" s="470" t="s">
        <v>1239</v>
      </c>
      <c r="I5" s="470" t="s">
        <v>2091</v>
      </c>
      <c r="J5" s="470" t="s">
        <v>55</v>
      </c>
      <c r="L5" s="470" t="s">
        <v>1237</v>
      </c>
      <c r="M5" s="470" t="s">
        <v>1240</v>
      </c>
      <c r="N5" s="1190" t="s">
        <v>55</v>
      </c>
      <c r="O5" s="1191" t="s">
        <v>880</v>
      </c>
      <c r="P5" s="1192"/>
    </row>
    <row r="6" spans="1:18" ht="109.5" customHeight="1">
      <c r="A6" s="1193" t="s">
        <v>1144</v>
      </c>
      <c r="B6" s="1113" t="s">
        <v>1145</v>
      </c>
      <c r="C6" s="1194" t="s">
        <v>1577</v>
      </c>
      <c r="D6" s="1120">
        <f ca="1">+'1POMCAS'!D8</f>
        <v>0.8</v>
      </c>
      <c r="E6" s="1189"/>
      <c r="F6" s="1189"/>
      <c r="H6" s="1117">
        <f>+'1POMCAS'!F11</f>
        <v>0</v>
      </c>
      <c r="I6" s="1117" t="str">
        <f>+'1POMCAS'!E12</f>
        <v>3203. GESTION INTEGRAL DEL RECURSO HIDRICO - 3203.01  Gestión integral del recurso hídrico y materialización de la ZOAT en el area de jurisdiccion de Corpocesar.</v>
      </c>
      <c r="J6" s="1117">
        <f>+'1POMCAS'!E13</f>
        <v>0</v>
      </c>
      <c r="L6" s="1114" t="str">
        <f t="shared" ref="L6:L32" ca="1" si="0">IF(ISNUMBER(D6),"",H6)</f>
        <v/>
      </c>
      <c r="M6" s="1114" t="str">
        <f t="shared" ref="M6:M32" si="1">IF(ISNUMBER(I6),"",I6)</f>
        <v>3203. GESTION INTEGRAL DEL RECURSO HIDRICO - 3203.01  Gestión integral del recurso hídrico y materialización de la ZOAT en el area de jurisdiccion de Corpocesar.</v>
      </c>
      <c r="N6" s="1115" t="str">
        <f t="shared" ref="N6:N32" si="2">IF(ISNUMBER(J6),"",J6)</f>
        <v/>
      </c>
      <c r="O6" s="1195" t="s">
        <v>880</v>
      </c>
      <c r="P6" s="1196"/>
    </row>
    <row r="7" spans="1:18" ht="173.25" customHeight="1">
      <c r="A7" s="1193" t="s">
        <v>1146</v>
      </c>
      <c r="B7" s="1113" t="s">
        <v>131</v>
      </c>
      <c r="C7" s="1189" t="s">
        <v>1577</v>
      </c>
      <c r="D7" s="1121" t="str">
        <f>+'2PORH'!D8</f>
        <v>NO SE REPORTA</v>
      </c>
      <c r="E7" s="1189"/>
      <c r="F7" s="1189"/>
      <c r="H7" s="1117" t="str">
        <f>+'2PORH'!F11</f>
        <v>Para la vigencia 2021, no se programó meta para este indicador,  Acuerdo 005 del 22 de mayo de 2020 (Por medio del cual se aprueba el Plan de Accion Institucional 2020 -2023)</v>
      </c>
      <c r="I7" s="1117" t="str">
        <f>+'2PORH'!E12</f>
        <v>3203. GESTIÓN INTEGRAL DEL RECURSO HÍDRICO  3203.01  Gestión integral del recurso hídrico y materialización de la ZOAT en el area de jurisdiccion de Corpocesar.</v>
      </c>
      <c r="J7" s="1117" t="str">
        <f>+'2PORH'!F10</f>
        <v>Acuerdo 005 del 22 de mayo de 2020 (Por medio del cual se aprueba el Plan de Accion Institucional 2020 -2023)</v>
      </c>
      <c r="L7" s="1114" t="str">
        <f t="shared" si="0"/>
        <v>Para la vigencia 2021, no se programó meta para este indicador,  Acuerdo 005 del 22 de mayo de 2020 (Por medio del cual se aprueba el Plan de Accion Institucional 2020 -2023)</v>
      </c>
      <c r="M7" s="1114" t="str">
        <f t="shared" si="1"/>
        <v>3203. GESTIÓN INTEGRAL DEL RECURSO HÍDRICO  3203.01  Gestión integral del recurso hídrico y materialización de la ZOAT en el area de jurisdiccion de Corpocesar.</v>
      </c>
      <c r="N7" s="1115" t="str">
        <f t="shared" si="2"/>
        <v>Acuerdo 005 del 22 de mayo de 2020 (Por medio del cual se aprueba el Plan de Accion Institucional 2020 -2023)</v>
      </c>
      <c r="O7" s="1195" t="s">
        <v>880</v>
      </c>
      <c r="P7" s="1196"/>
    </row>
    <row r="8" spans="1:18" ht="270">
      <c r="A8" s="1193" t="s">
        <v>1147</v>
      </c>
      <c r="B8" s="1113" t="s">
        <v>162</v>
      </c>
      <c r="C8" s="1118">
        <v>1</v>
      </c>
      <c r="D8" s="1121">
        <f>+'3PSMV'!D8</f>
        <v>1</v>
      </c>
      <c r="E8" s="1189"/>
      <c r="F8" s="1189"/>
      <c r="H8" s="1117">
        <f>+'3PSMV'!F11</f>
        <v>0</v>
      </c>
      <c r="I8" s="1117" t="str">
        <f>+'3PSMV'!E12</f>
        <v>3203. GESTIÓN INTEGRAL  DEL RECURSO HÍDRICO  3203.01  Gestión integral del recurso hídrico y materialización de la ZOAT en el area de jurisdiccion de Corpocesar.</v>
      </c>
      <c r="J8" s="1117" t="str">
        <f>+'3PSMV'!E13</f>
        <v xml:space="preserve">Los municipios no finalizan el tramite en lo relacionado al aporte de la informacion requeridad por la corporacion el en proceso de evaluacion y se declara el procedimiento de desestimiento de la solicitud, a pesar de esta situacin CORPOCESAR realiza el seguimiento a la totalidad de los PSMV
</v>
      </c>
      <c r="L8" s="1114" t="str">
        <f t="shared" si="0"/>
        <v/>
      </c>
      <c r="M8" s="1114" t="str">
        <f t="shared" si="1"/>
        <v>3203. GESTIÓN INTEGRAL  DEL RECURSO HÍDRICO  3203.01  Gestión integral del recurso hídrico y materialización de la ZOAT en el area de jurisdiccion de Corpocesar.</v>
      </c>
      <c r="N8" s="1115" t="str">
        <f t="shared" si="2"/>
        <v xml:space="preserve">Los municipios no finalizan el tramite en lo relacionado al aporte de la informacion requeridad por la corporacion el en proceso de evaluacion y se declara el procedimiento de desestimiento de la solicitud, a pesar de esta situacin CORPOCESAR realiza el seguimiento a la totalidad de los PSMV
</v>
      </c>
      <c r="O8" s="1195" t="s">
        <v>880</v>
      </c>
      <c r="P8" s="1196"/>
    </row>
    <row r="9" spans="1:18" ht="120">
      <c r="A9" s="1193" t="s">
        <v>1148</v>
      </c>
      <c r="B9" s="1113" t="s">
        <v>183</v>
      </c>
      <c r="C9" s="1189" t="s">
        <v>1577</v>
      </c>
      <c r="D9" s="1121" t="str">
        <f>+'4UsoAguas'!D8</f>
        <v>NO SE REPORTA</v>
      </c>
      <c r="E9" s="1189"/>
      <c r="F9" s="1189"/>
      <c r="H9" s="1117" t="str">
        <f>+'4UsoAguas'!F11</f>
        <v>Acuerdo 005 del 22 de mayo de 2020 (Por medio del cual se aprueba el Plan de Accion Institucional 2020 -2023) No esta contenplada para la vivencia 2022</v>
      </c>
      <c r="I9" s="1117" t="str">
        <f>+'4UsoAguas'!E12</f>
        <v>3203. GESTIÓN INTEGRAL DEL RECURSO HÍDRICO  3203.01  Gestión integral del recurso hídrico y materialización de la ZOAT en el area de jurisdiccion de Corpocesar.</v>
      </c>
      <c r="J9" s="1117">
        <f>+'4UsoAguas'!E13</f>
        <v>0</v>
      </c>
      <c r="L9" s="1114" t="str">
        <f t="shared" si="0"/>
        <v>Acuerdo 005 del 22 de mayo de 2020 (Por medio del cual se aprueba el Plan de Accion Institucional 2020 -2023) No esta contenplada para la vivencia 2022</v>
      </c>
      <c r="M9" s="1114" t="str">
        <f t="shared" si="1"/>
        <v>3203. GESTIÓN INTEGRAL DEL RECURSO HÍDRICO  3203.01  Gestión integral del recurso hídrico y materialización de la ZOAT en el area de jurisdiccion de Corpocesar.</v>
      </c>
      <c r="N9" s="1115" t="str">
        <f t="shared" si="2"/>
        <v/>
      </c>
      <c r="O9" s="1195" t="s">
        <v>880</v>
      </c>
      <c r="P9" s="1196"/>
    </row>
    <row r="10" spans="1:18" ht="90">
      <c r="A10" s="1193" t="s">
        <v>1149</v>
      </c>
      <c r="B10" s="1113" t="s">
        <v>200</v>
      </c>
      <c r="C10" s="1118">
        <v>0.19</v>
      </c>
      <c r="D10" s="1121">
        <f>+'5PUEAA'!D8</f>
        <v>0.3984375</v>
      </c>
      <c r="E10" s="1189"/>
      <c r="F10" s="1189"/>
      <c r="H10" s="1117">
        <f>+'5PUEAA'!F11</f>
        <v>0</v>
      </c>
      <c r="I10" s="1117" t="str">
        <f>+'5PUEAA'!E12</f>
        <v>3203. GESTIÓN INTEGRAL  DEL RECURSO HÍDRICO  3203.01  Gestión integral del recurso hídrico y materialización de la ZOAT en el area de jurisdiccion de Corpocesar.</v>
      </c>
      <c r="J10" s="1117">
        <f>+'5PUEAA'!E13</f>
        <v>0</v>
      </c>
      <c r="L10" s="1114" t="str">
        <f t="shared" si="0"/>
        <v/>
      </c>
      <c r="M10" s="1114" t="str">
        <f t="shared" si="1"/>
        <v>3203. GESTIÓN INTEGRAL  DEL RECURSO HÍDRICO  3203.01  Gestión integral del recurso hídrico y materialización de la ZOAT en el area de jurisdiccion de Corpocesar.</v>
      </c>
      <c r="N10" s="1115" t="str">
        <f t="shared" si="2"/>
        <v/>
      </c>
      <c r="O10" s="1195" t="s">
        <v>880</v>
      </c>
      <c r="P10" s="1196"/>
    </row>
    <row r="11" spans="1:18" ht="90">
      <c r="A11" s="1193" t="s">
        <v>1150</v>
      </c>
      <c r="B11" s="1113" t="s">
        <v>220</v>
      </c>
      <c r="C11" s="1118">
        <v>0.48</v>
      </c>
      <c r="D11" s="1121">
        <f>+'6POMCASejec'!D8</f>
        <v>1</v>
      </c>
      <c r="E11" s="1189"/>
      <c r="F11" s="1189"/>
      <c r="H11" s="1117">
        <f>+'6POMCASejec'!F11</f>
        <v>0</v>
      </c>
      <c r="I11" s="1117" t="str">
        <f>+'6POMCASejec'!E12</f>
        <v>3203. GESTION INTEGRAL DEL RECURSO HIDRICO - 3203.01  Gestión integral del recurso hídrico y materialización de la ZOAT en el area de jurisdiccion de Corpocesar.</v>
      </c>
      <c r="J11" s="1117">
        <f>+'6POMCASejec'!E13</f>
        <v>0</v>
      </c>
      <c r="L11" s="1114" t="str">
        <f t="shared" si="0"/>
        <v/>
      </c>
      <c r="M11" s="1114" t="str">
        <f t="shared" si="1"/>
        <v>3203. GESTION INTEGRAL DEL RECURSO HIDRICO - 3203.01  Gestión integral del recurso hídrico y materialización de la ZOAT en el area de jurisdiccion de Corpocesar.</v>
      </c>
      <c r="N11" s="1115" t="str">
        <f t="shared" si="2"/>
        <v/>
      </c>
      <c r="O11" s="1195" t="s">
        <v>880</v>
      </c>
      <c r="P11" s="1196"/>
    </row>
    <row r="12" spans="1:18" ht="165">
      <c r="A12" s="1193" t="s">
        <v>1151</v>
      </c>
      <c r="B12" s="1113" t="s">
        <v>280</v>
      </c>
      <c r="C12" s="1118">
        <v>1</v>
      </c>
      <c r="D12" s="1121">
        <f>+'7Clima'!D8</f>
        <v>1</v>
      </c>
      <c r="E12" s="1189"/>
      <c r="F12" s="1189"/>
      <c r="H12" s="1117">
        <f>+'7Clima'!F11</f>
        <v>0</v>
      </c>
      <c r="I12" s="1117" t="str">
        <f>+'7Clima'!E12</f>
        <v xml:space="preserve">3205.01 Fortalecimiento del proceso de Ordenamiento Territorial como estrategia  para promover el  desarrollo terrirorial sostenible, en el dpto del Cesar.   3205.01.01 Actualización de las determinantes ambientales para el Ordenamiento territorial (énfasis en cambio climático, GRD, suelo suburbano, EEP)  </v>
      </c>
      <c r="J12" s="1117">
        <f>+'7Clima'!E13</f>
        <v>0</v>
      </c>
      <c r="L12" s="1114" t="str">
        <f t="shared" si="0"/>
        <v/>
      </c>
      <c r="M12" s="1114" t="str">
        <f t="shared" si="1"/>
        <v xml:space="preserve">3205.01 Fortalecimiento del proceso de Ordenamiento Territorial como estrategia  para promover el  desarrollo terrirorial sostenible, en el dpto del Cesar.   3205.01.01 Actualización de las determinantes ambientales para el Ordenamiento territorial (énfasis en cambio climático, GRD, suelo suburbano, EEP)  </v>
      </c>
      <c r="N12" s="1115" t="str">
        <f t="shared" si="2"/>
        <v/>
      </c>
      <c r="O12" s="1195" t="s">
        <v>880</v>
      </c>
      <c r="P12" s="1196"/>
    </row>
    <row r="13" spans="1:18" ht="105">
      <c r="A13" s="1193" t="s">
        <v>1152</v>
      </c>
      <c r="B13" s="1113" t="s">
        <v>314</v>
      </c>
      <c r="C13" s="1118" t="s">
        <v>1577</v>
      </c>
      <c r="D13" s="1121">
        <f>+'8Suelo'!D8</f>
        <v>1</v>
      </c>
      <c r="E13" s="1189"/>
      <c r="F13" s="1189"/>
      <c r="H13" s="1117">
        <f>+'8Suelo'!F11</f>
        <v>0</v>
      </c>
      <c r="I13" s="1117" t="str">
        <f>+'8Suelo'!E12</f>
        <v>3201. FORTALECIMIENTO DEL DESEMPEÑO AMBIENTAL DE LOS SECTORES PRODUCTIVOS 3201.05 Gestión integral del suelo para la recuperación de este recurso natural en el departamento del Cesar.</v>
      </c>
      <c r="J13" s="1117">
        <f>+'8Suelo'!E13</f>
        <v>0</v>
      </c>
      <c r="L13" s="1114" t="str">
        <f t="shared" si="0"/>
        <v/>
      </c>
      <c r="M13" s="1114" t="str">
        <f t="shared" si="1"/>
        <v>3201. FORTALECIMIENTO DEL DESEMPEÑO AMBIENTAL DE LOS SECTORES PRODUCTIVOS 3201.05 Gestión integral del suelo para la recuperación de este recurso natural en el departamento del Cesar.</v>
      </c>
      <c r="N13" s="1115" t="str">
        <f t="shared" si="2"/>
        <v/>
      </c>
      <c r="O13" s="1195" t="s">
        <v>880</v>
      </c>
      <c r="P13" s="1196"/>
    </row>
    <row r="14" spans="1:18" ht="180">
      <c r="A14" s="1193" t="s">
        <v>1153</v>
      </c>
      <c r="B14" s="1113" t="s">
        <v>348</v>
      </c>
      <c r="C14" s="1118" t="s">
        <v>1577</v>
      </c>
      <c r="D14" s="1121" t="str">
        <f>+'9RUNAP'!D9</f>
        <v xml:space="preserve">NO SE REPORTA </v>
      </c>
      <c r="E14" s="1189"/>
      <c r="F14" s="1189"/>
      <c r="H14" s="1117" t="str">
        <f>+'9RUNAP'!F12</f>
        <v>Acuerdo 005 del 22 de mayo de 2020 (Por medio del cual se aprueba el Plan de Accion Institucional 2020 -2023)</v>
      </c>
      <c r="I14" s="1117" t="str">
        <f>+'9RUNAP'!E13</f>
        <v>3202. CONSERVACIÓN DE LA BIODIVERSIDAD Y SUS SERVICIOS ECOSITÉMICOS.  3202.05. Gestión del SIRAP  y/o implementación de otras estrategias de conservación de la biodiversidad y formulación e implementación y apoyo de PM  de AP  en el dpto. del Cesar 3202.05.06. Gestión para la implementación de PM de APR y otras estrategias de conservación.</v>
      </c>
      <c r="J14" s="1117">
        <f>+'9RUNAP'!E14</f>
        <v>0</v>
      </c>
      <c r="L14" s="1114" t="str">
        <f t="shared" si="0"/>
        <v>Acuerdo 005 del 22 de mayo de 2020 (Por medio del cual se aprueba el Plan de Accion Institucional 2020 -2023)</v>
      </c>
      <c r="M14" s="1114" t="str">
        <f t="shared" si="1"/>
        <v>3202. CONSERVACIÓN DE LA BIODIVERSIDAD Y SUS SERVICIOS ECOSITÉMICOS.  3202.05. Gestión del SIRAP  y/o implementación de otras estrategias de conservación de la biodiversidad y formulación e implementación y apoyo de PM  de AP  en el dpto. del Cesar 3202.05.06. Gestión para la implementación de PM de APR y otras estrategias de conservación.</v>
      </c>
      <c r="N14" s="1115" t="str">
        <f t="shared" si="2"/>
        <v/>
      </c>
      <c r="O14" s="1195" t="s">
        <v>880</v>
      </c>
      <c r="P14" s="1196"/>
    </row>
    <row r="15" spans="1:18" ht="409.5">
      <c r="A15" s="1193" t="s">
        <v>1154</v>
      </c>
      <c r="B15" s="1113" t="s">
        <v>396</v>
      </c>
      <c r="C15" s="1118" t="s">
        <v>1577</v>
      </c>
      <c r="D15" s="1121">
        <f>'10Paramos'!D8</f>
        <v>0</v>
      </c>
      <c r="E15" s="1189"/>
      <c r="F15" s="1189"/>
      <c r="H15" s="1117">
        <f>'10Paramos'!F11</f>
        <v>0</v>
      </c>
      <c r="I15" s="1117" t="str">
        <f>'10Paramos'!E12</f>
        <v>3202. CONSERVACIÓN DE LA BIODIVERSIDAD Y SUS SERVICIOS ECOSITÉMICOS 3202.05. Gestión del SIRAP y/o implementación de otras estrategias de conservación de la biodiversidad y formulación e implementación y apoyo de PM de AP en el dpto. del Cesar.</v>
      </c>
      <c r="J15" s="1117" t="str">
        <f>'10Paramos'!E13</f>
        <v>Paramo serrania del Perija(Se adelanto gestion con CORPOGUAJIRA para suscribir la comision conjunta para desarrollar el PM del paramo, se manifiesta que el 84% del paramo delimitado se encuentra declarado como un parque natural regional el cual ya cuenta con su respectivo PM el cual fue formulado y adoptado por la corporacion en 2019 teniendo en cuenta lo establecido y solicitado por el MADS) Sierra Nevada de Santa Marta (Se adelanto  gestion con COPAMAG   y Parques Nacionales para desarrollar el PM el 94% de este paramo hace parte del Parque natural sierra nevada de santa marta que cuenta con su PM )</v>
      </c>
      <c r="L15" s="1114" t="str">
        <f t="shared" si="0"/>
        <v/>
      </c>
      <c r="M15" s="1114" t="str">
        <f t="shared" si="1"/>
        <v>3202. CONSERVACIÓN DE LA BIODIVERSIDAD Y SUS SERVICIOS ECOSITÉMICOS 3202.05. Gestión del SIRAP y/o implementación de otras estrategias de conservación de la biodiversidad y formulación e implementación y apoyo de PM de AP en el dpto. del Cesar.</v>
      </c>
      <c r="N15" s="1115" t="str">
        <f t="shared" si="2"/>
        <v>Paramo serrania del Perija(Se adelanto gestion con CORPOGUAJIRA para suscribir la comision conjunta para desarrollar el PM del paramo, se manifiesta que el 84% del paramo delimitado se encuentra declarado como un parque natural regional el cual ya cuenta con su respectivo PM el cual fue formulado y adoptado por la corporacion en 2019 teniendo en cuenta lo establecido y solicitado por el MADS) Sierra Nevada de Santa Marta (Se adelanto  gestion con COPAMAG   y Parques Nacionales para desarrollar el PM el 94% de este paramo hace parte del Parque natural sierra nevada de santa marta que cuenta con su PM )</v>
      </c>
      <c r="O15" s="1195" t="s">
        <v>880</v>
      </c>
      <c r="P15" s="1196"/>
    </row>
    <row r="16" spans="1:18" ht="168">
      <c r="A16" s="1193" t="s">
        <v>1155</v>
      </c>
      <c r="B16" s="1113" t="s">
        <v>418</v>
      </c>
      <c r="C16" s="1118" t="s">
        <v>2092</v>
      </c>
      <c r="D16" s="1121" t="str">
        <f>+'11Forest'!D8</f>
        <v xml:space="preserve">NO SE REPORTA </v>
      </c>
      <c r="E16" s="1189"/>
      <c r="F16" s="1189"/>
      <c r="H16" s="1117" t="str">
        <f>+'11Forest'!F11</f>
        <v>El indicador no se reporta ya que la Corporación formuló y adoptó el POF en vigencias anteriores. Es decir, la meta se cumplió desde la vigencia 2016 que fue adoptado el POF según resolución 1235 de 2017</v>
      </c>
      <c r="I16" s="1117" t="str">
        <f>+'11Forest'!E12</f>
        <v>3202. CONSERVACIÓN DE LA BIODIVERSIDAD Y SUS SERVICIOS ECOSITÉMICOS 3202.05. Gestión del SIRAP y/o implementación de otras estrategias de conservación de la biodiversidad y formulación e implementación y apoyo de PM de AP en el dpto. del Cesar.</v>
      </c>
      <c r="J16" s="1117" t="str">
        <f>+'11Forest'!E13</f>
        <v>La Corporación formuló y adoptó el POF en vigencias anteriores. Es decir, la meta se cumplió desde la vigencia 2016 que fue adoptado el POF según resolución 1235 de 2017</v>
      </c>
      <c r="L16" s="1114" t="str">
        <f t="shared" si="0"/>
        <v>El indicador no se reporta ya que la Corporación formuló y adoptó el POF en vigencias anteriores. Es decir, la meta se cumplió desde la vigencia 2016 que fue adoptado el POF según resolución 1235 de 2017</v>
      </c>
      <c r="M16" s="1114" t="str">
        <f t="shared" si="1"/>
        <v>3202. CONSERVACIÓN DE LA BIODIVERSIDAD Y SUS SERVICIOS ECOSITÉMICOS 3202.05. Gestión del SIRAP y/o implementación de otras estrategias de conservación de la biodiversidad y formulación e implementación y apoyo de PM de AP en el dpto. del Cesar.</v>
      </c>
      <c r="N16" s="1115" t="str">
        <f t="shared" si="2"/>
        <v>La Corporación formuló y adoptó el POF en vigencias anteriores. Es decir, la meta se cumplió desde la vigencia 2016 que fue adoptado el POF según resolución 1235 de 2017</v>
      </c>
      <c r="O16" s="1195" t="s">
        <v>880</v>
      </c>
      <c r="P16" s="1196"/>
    </row>
    <row r="17" spans="1:16" ht="165">
      <c r="A17" s="1193" t="s">
        <v>1156</v>
      </c>
      <c r="B17" s="1113" t="s">
        <v>449</v>
      </c>
      <c r="C17" s="1118">
        <v>1</v>
      </c>
      <c r="D17" s="1121">
        <f>+'12PlanesAP'!D8</f>
        <v>1</v>
      </c>
      <c r="E17" s="1189"/>
      <c r="F17" s="1189"/>
      <c r="H17" s="1117">
        <f>+'12PlanesAP'!F11</f>
        <v>0</v>
      </c>
      <c r="I17" s="1117" t="str">
        <f>+'12PlanesAP'!E12</f>
        <v xml:space="preserve">3202. CONSERVACIÓN DE LA BIODIVERSIDAD Y SUS SERVICIOS ECOSITÉMICOS 
Proyecto Proyecto 3202.05 Gestión del SIRAP  y/o implementación de otras estrategias de conservación de la biodiversidad y formulación e implementación y apoyo de PM  de AP  en el dpto. del Cesar.    </v>
      </c>
      <c r="J17" s="1117">
        <f>+'12PlanesAP'!E13</f>
        <v>0</v>
      </c>
      <c r="L17" s="1114" t="str">
        <f t="shared" si="0"/>
        <v/>
      </c>
      <c r="M17" s="1114" t="str">
        <f t="shared" si="1"/>
        <v xml:space="preserve">3202. CONSERVACIÓN DE LA BIODIVERSIDAD Y SUS SERVICIOS ECOSITÉMICOS 
Proyecto Proyecto 3202.05 Gestión del SIRAP  y/o implementación de otras estrategias de conservación de la biodiversidad y formulación e implementación y apoyo de PM  de AP  en el dpto. del Cesar.    </v>
      </c>
      <c r="N17" s="1115" t="str">
        <f t="shared" si="2"/>
        <v/>
      </c>
      <c r="O17" s="1195" t="s">
        <v>880</v>
      </c>
      <c r="P17" s="1196"/>
    </row>
    <row r="18" spans="1:16" ht="105">
      <c r="A18" s="1193" t="s">
        <v>1157</v>
      </c>
      <c r="B18" s="1113" t="s">
        <v>480</v>
      </c>
      <c r="C18" s="1118">
        <v>1</v>
      </c>
      <c r="D18" s="1121">
        <f>+'13Amenaz'!D8</f>
        <v>1</v>
      </c>
      <c r="E18" s="1189"/>
      <c r="F18" s="1189"/>
      <c r="H18" s="1117">
        <f>+'13Amenaz'!F11</f>
        <v>0</v>
      </c>
      <c r="I18" s="1117" t="str">
        <f>+'13Amenaz'!E12</f>
        <v>3202. CONSERVACIÓN DE LA BIODIVERSIDAD Y SUS SERVICIOS ECOSITÉMICOS, 3202.06. Fortalecimiento, gestión e implementación de medidas para el manejo de la fauna en el dpto. del Cesar</v>
      </c>
      <c r="J18" s="1117">
        <f>+'13Amenaz'!E13</f>
        <v>0</v>
      </c>
      <c r="L18" s="1114" t="str">
        <f t="shared" si="0"/>
        <v/>
      </c>
      <c r="M18" s="1114" t="str">
        <f t="shared" si="1"/>
        <v>3202. CONSERVACIÓN DE LA BIODIVERSIDAD Y SUS SERVICIOS ECOSITÉMICOS, 3202.06. Fortalecimiento, gestión e implementación de medidas para el manejo de la fauna en el dpto. del Cesar</v>
      </c>
      <c r="N18" s="1115" t="str">
        <f t="shared" si="2"/>
        <v/>
      </c>
      <c r="O18" s="1195" t="s">
        <v>880</v>
      </c>
      <c r="P18" s="1196"/>
    </row>
    <row r="19" spans="1:16" ht="105">
      <c r="A19" s="1193" t="s">
        <v>1158</v>
      </c>
      <c r="B19" s="1113" t="s">
        <v>526</v>
      </c>
      <c r="C19" s="1118">
        <v>1</v>
      </c>
      <c r="D19" s="1121">
        <f>+'14Invasor'!D8</f>
        <v>1</v>
      </c>
      <c r="E19" s="1189"/>
      <c r="F19" s="1189"/>
      <c r="H19" s="1117">
        <f>+'14Invasor'!F11</f>
        <v>0</v>
      </c>
      <c r="I19" s="1117" t="str">
        <f>+'14Invasor'!E12</f>
        <v>3202. CONSERVACIÓN DE LA BIODIVERSIDAD Y SUS SERVICIOS ECOSITÉMICOS, 3202.06. Fortalecimiento, gestión e implementación de medidas para el manejo de la fauna en el dpto. del Cesar</v>
      </c>
      <c r="J19" s="1117">
        <f>+'14Invasor'!E13</f>
        <v>0</v>
      </c>
      <c r="L19" s="1114" t="str">
        <f t="shared" si="0"/>
        <v/>
      </c>
      <c r="M19" s="1114" t="str">
        <f t="shared" si="1"/>
        <v>3202. CONSERVACIÓN DE LA BIODIVERSIDAD Y SUS SERVICIOS ECOSITÉMICOS, 3202.06. Fortalecimiento, gestión e implementación de medidas para el manejo de la fauna en el dpto. del Cesar</v>
      </c>
      <c r="N19" s="1115" t="str">
        <f t="shared" si="2"/>
        <v/>
      </c>
      <c r="O19" s="1195" t="s">
        <v>880</v>
      </c>
      <c r="P19" s="1196"/>
    </row>
    <row r="20" spans="1:16" ht="105">
      <c r="A20" s="1193" t="s">
        <v>1159</v>
      </c>
      <c r="B20" s="1113" t="s">
        <v>557</v>
      </c>
      <c r="C20" s="1118" t="s">
        <v>2092</v>
      </c>
      <c r="D20" s="1121">
        <f>+'15Restaura'!D8</f>
        <v>0.92647058823529416</v>
      </c>
      <c r="E20" s="1189"/>
      <c r="F20" s="1189"/>
      <c r="H20" s="1117">
        <f>+'15Restaura'!F11</f>
        <v>0</v>
      </c>
      <c r="I20" s="1117" t="str">
        <f>+'15Restaura'!E12</f>
        <v>3202. CONSERVACIÓN DE LA BIODIVERSIDAD Y SUS SERVICIOS ECOSISTÉMICOS 3202.01  Gestión e implementación de acciones integrales para la restauración ecológica en el departamento del Cesar.</v>
      </c>
      <c r="J20" s="1117">
        <f>+'15Restaura'!E13</f>
        <v>0</v>
      </c>
      <c r="L20" s="1114" t="str">
        <f t="shared" si="0"/>
        <v/>
      </c>
      <c r="M20" s="1114" t="str">
        <f t="shared" si="1"/>
        <v>3202. CONSERVACIÓN DE LA BIODIVERSIDAD Y SUS SERVICIOS ECOSISTÉMICOS 3202.01  Gestión e implementación de acciones integrales para la restauración ecológica en el departamento del Cesar.</v>
      </c>
      <c r="N20" s="1115" t="str">
        <f t="shared" si="2"/>
        <v/>
      </c>
      <c r="O20" s="1195" t="s">
        <v>880</v>
      </c>
      <c r="P20" s="1196"/>
    </row>
    <row r="21" spans="1:16" ht="96">
      <c r="A21" s="1193" t="s">
        <v>1160</v>
      </c>
      <c r="B21" s="1113" t="s">
        <v>585</v>
      </c>
      <c r="C21" s="1118">
        <v>0</v>
      </c>
      <c r="D21" s="1121" t="str">
        <f>+'16MIZC'!D8</f>
        <v>NO APLICA</v>
      </c>
      <c r="E21" s="1189"/>
      <c r="F21" s="1189"/>
      <c r="H21" s="1117" t="str">
        <f>+'16MIZC'!F11</f>
        <v>Acuerdo 005 del 22 de mayo de 2020 (Por medio del cual se aprueba el Plan de Accion Institucional 2020 -2023)</v>
      </c>
      <c r="I21" s="1117">
        <f>+'16MIZC'!E12</f>
        <v>0</v>
      </c>
      <c r="J21" s="1117">
        <f>+'16MIZC'!E13</f>
        <v>0</v>
      </c>
      <c r="L21" s="1114" t="str">
        <f t="shared" si="0"/>
        <v>Acuerdo 005 del 22 de mayo de 2020 (Por medio del cual se aprueba el Plan de Accion Institucional 2020 -2023)</v>
      </c>
      <c r="M21" s="1114" t="str">
        <f t="shared" si="1"/>
        <v/>
      </c>
      <c r="N21" s="1115" t="str">
        <f t="shared" si="2"/>
        <v/>
      </c>
      <c r="O21" s="1195" t="s">
        <v>880</v>
      </c>
      <c r="P21" s="1196"/>
    </row>
    <row r="22" spans="1:16" ht="120">
      <c r="A22" s="1193" t="s">
        <v>1161</v>
      </c>
      <c r="B22" s="1113" t="s">
        <v>634</v>
      </c>
      <c r="C22" s="1118">
        <v>1</v>
      </c>
      <c r="D22" s="1121">
        <f>+'17PGIRS'!D8</f>
        <v>1</v>
      </c>
      <c r="E22" s="1189"/>
      <c r="F22" s="1189"/>
      <c r="H22" s="1117">
        <f>+'17PGIRS'!F11</f>
        <v>0</v>
      </c>
      <c r="I22" s="1117" t="str">
        <f>+'17PGIRS'!E12</f>
        <v>3201. FORTALECIMIENTO DEL DESEMPEÑO AMBIENTAL DE LOS SECTORES PRODUCTIVOS 3201.03 Gestión y apoyo regional a la implementación de la estrategia nacional de economía circular y economía ambiental para la producción sostenible.</v>
      </c>
      <c r="J22" s="1117">
        <f>+'17PGIRS'!E13</f>
        <v>0</v>
      </c>
      <c r="L22" s="1114" t="str">
        <f t="shared" si="0"/>
        <v/>
      </c>
      <c r="M22" s="1114" t="str">
        <f t="shared" si="1"/>
        <v>3201. FORTALECIMIENTO DEL DESEMPEÑO AMBIENTAL DE LOS SECTORES PRODUCTIVOS 3201.03 Gestión y apoyo regional a la implementación de la estrategia nacional de economía circular y economía ambiental para la producción sostenible.</v>
      </c>
      <c r="N22" s="1115" t="str">
        <f t="shared" si="2"/>
        <v/>
      </c>
      <c r="O22" s="1195" t="s">
        <v>880</v>
      </c>
      <c r="P22" s="1196"/>
    </row>
    <row r="23" spans="1:16" ht="135">
      <c r="A23" s="1193" t="s">
        <v>1162</v>
      </c>
      <c r="B23" s="1113" t="s">
        <v>655</v>
      </c>
      <c r="C23" s="1118">
        <v>1</v>
      </c>
      <c r="D23" s="1121">
        <f>+'18Sector'!D8</f>
        <v>0.88888888888888884</v>
      </c>
      <c r="E23" s="1189"/>
      <c r="F23" s="1189"/>
      <c r="H23" s="1117">
        <f>+'18Sector'!F11</f>
        <v>0</v>
      </c>
      <c r="I23" s="1117" t="str">
        <f>+'18Sector'!E12</f>
        <v>3201. FORTALECIMIENTO DEL DESEMPEÑO AMBIENTAL DE LOS SECTORES PRODUCTIVOS 3201.01 Gestión e implementación de estrategias para la recuperación y conservación de la flora y fauna en el Departamento del Cesar, en armonía con el proyecto 3202.02</v>
      </c>
      <c r="J23" s="1117" t="str">
        <f>+'18Sector'!E13</f>
        <v>Se relacionan los sectores desarrollados y relacionan algunas de los negiocios apoyados por sector.</v>
      </c>
      <c r="L23" s="1114" t="str">
        <f t="shared" si="0"/>
        <v/>
      </c>
      <c r="M23" s="1114" t="str">
        <f t="shared" si="1"/>
        <v>3201. FORTALECIMIENTO DEL DESEMPEÑO AMBIENTAL DE LOS SECTORES PRODUCTIVOS 3201.01 Gestión e implementación de estrategias para la recuperación y conservación de la flora y fauna en el Departamento del Cesar, en armonía con el proyecto 3202.02</v>
      </c>
      <c r="N23" s="1115" t="str">
        <f t="shared" si="2"/>
        <v>Se relacionan los sectores desarrollados y relacionan algunas de los negiocios apoyados por sector.</v>
      </c>
      <c r="O23" s="1195" t="s">
        <v>880</v>
      </c>
      <c r="P23" s="1196"/>
    </row>
    <row r="24" spans="1:16" ht="135">
      <c r="A24" s="1193" t="s">
        <v>1163</v>
      </c>
      <c r="B24" s="1113" t="s">
        <v>702</v>
      </c>
      <c r="C24" s="1118">
        <v>1</v>
      </c>
      <c r="D24" s="1121">
        <f>+'19GAU'!D8</f>
        <v>0.25</v>
      </c>
      <c r="E24" s="1189"/>
      <c r="F24" s="1189"/>
      <c r="H24" s="1117">
        <f>+'19GAU'!F11</f>
        <v>0</v>
      </c>
      <c r="I24" s="1117" t="str">
        <f>+'19GAU'!E12</f>
        <v>3201. FORTALECIMIENTO DEL DESEMPEÑO AMBIENTAL DE LOS SECTORES PRODUCTIVOS, 3201.02. Gestión, coordinación,  e implementación de políticas locales de resiliencia y sostenibilidad ambiental urbana en el área de jurisdicción de Corpocesar.</v>
      </c>
      <c r="J24" s="1117">
        <f>+'19GAU'!E13</f>
        <v>0</v>
      </c>
      <c r="L24" s="1114" t="str">
        <f t="shared" si="0"/>
        <v/>
      </c>
      <c r="M24" s="1114" t="str">
        <f t="shared" si="1"/>
        <v>3201. FORTALECIMIENTO DEL DESEMPEÑO AMBIENTAL DE LOS SECTORES PRODUCTIVOS, 3201.02. Gestión, coordinación,  e implementación de políticas locales de resiliencia y sostenibilidad ambiental urbana en el área de jurisdicción de Corpocesar.</v>
      </c>
      <c r="N24" s="1115" t="str">
        <f t="shared" si="2"/>
        <v/>
      </c>
      <c r="O24" s="1195" t="s">
        <v>880</v>
      </c>
      <c r="P24" s="1196"/>
    </row>
    <row r="25" spans="1:16" ht="135">
      <c r="A25" s="1193" t="s">
        <v>1164</v>
      </c>
      <c r="B25" s="1113" t="s">
        <v>772</v>
      </c>
      <c r="C25" s="1118">
        <v>0</v>
      </c>
      <c r="D25" s="1121">
        <f>+'20Negoc'!D8</f>
        <v>0.64999999999999991</v>
      </c>
      <c r="E25" s="1189"/>
      <c r="F25" s="1189"/>
      <c r="H25" s="1117">
        <f>+'20Negoc'!F11</f>
        <v>0</v>
      </c>
      <c r="I25" s="1117" t="str">
        <f>+'20Negoc'!E12</f>
        <v>3201. FORTALECIMIENTO DEL DESEMPEÑO AMBIENTAL DE LOS SECTORES PRODUCTIVOS. Proyecto 3201.03.Gestión y apoyo regional a  la implementación de la estrategia nacional de Economía  circular y  economía ambiental para la producción sostenible</v>
      </c>
      <c r="J25" s="1117">
        <f>+'20Negoc'!E13</f>
        <v>0</v>
      </c>
      <c r="L25" s="1114" t="str">
        <f t="shared" si="0"/>
        <v/>
      </c>
      <c r="M25" s="1114" t="str">
        <f t="shared" si="1"/>
        <v>3201. FORTALECIMIENTO DEL DESEMPEÑO AMBIENTAL DE LOS SECTORES PRODUCTIVOS. Proyecto 3201.03.Gestión y apoyo regional a  la implementación de la estrategia nacional de Economía  circular y  economía ambiental para la producción sostenible</v>
      </c>
      <c r="N25" s="1115" t="str">
        <f t="shared" si="2"/>
        <v/>
      </c>
      <c r="O25" s="1195" t="s">
        <v>880</v>
      </c>
      <c r="P25" s="1196"/>
    </row>
    <row r="26" spans="1:16" ht="180">
      <c r="A26" s="1193" t="s">
        <v>1165</v>
      </c>
      <c r="B26" s="1113" t="s">
        <v>832</v>
      </c>
      <c r="C26" s="1118">
        <v>0.92</v>
      </c>
      <c r="D26" s="1121">
        <f>+'21TiempoT'!D8</f>
        <v>0.8431276442739033</v>
      </c>
      <c r="E26" s="1189"/>
      <c r="F26" s="1189"/>
      <c r="H26" s="1117">
        <f>+'21TiempoT'!F11</f>
        <v>0</v>
      </c>
      <c r="I26" s="1117" t="str">
        <f>+'21TiempoT'!E12</f>
        <v>3299. FORTALECIMIENTO DE LA GESTIÓN Y DIRECCIÓN DEL SECTOR AMBIENTE Y DESARROLLO SOSTENIBLE 3299.03 Fortalecimiento institucional sostenible del ejercicio de la autoridad ambiental regional (seguimiento, control y vigilancia) y apoyo integral de los procesos operativos de trámites ambientales otorgados por la Corporación.</v>
      </c>
      <c r="J26" s="1117">
        <f>+'21TiempoT'!E13</f>
        <v>0</v>
      </c>
      <c r="L26" s="1114" t="str">
        <f t="shared" si="0"/>
        <v/>
      </c>
      <c r="M26" s="1114" t="str">
        <f t="shared" si="1"/>
        <v>3299. FORTALECIMIENTO DE LA GESTIÓN Y DIRECCIÓN DEL SECTOR AMBIENTE Y DESARROLLO SOSTENIBLE 3299.03 Fortalecimiento institucional sostenible del ejercicio de la autoridad ambiental regional (seguimiento, control y vigilancia) y apoyo integral de los procesos operativos de trámites ambientales otorgados por la Corporación.</v>
      </c>
      <c r="N26" s="1115" t="str">
        <f t="shared" si="2"/>
        <v/>
      </c>
      <c r="O26" s="1195" t="s">
        <v>880</v>
      </c>
      <c r="P26" s="1196"/>
    </row>
    <row r="27" spans="1:16" ht="240">
      <c r="A27" s="1193" t="s">
        <v>1166</v>
      </c>
      <c r="B27" s="1113" t="s">
        <v>879</v>
      </c>
      <c r="C27" s="1118">
        <v>0.28999999999999998</v>
      </c>
      <c r="D27" s="1121">
        <f>+'22Autor'!D8</f>
        <v>0.81511781394492633</v>
      </c>
      <c r="E27" s="1189"/>
      <c r="F27" s="1189"/>
      <c r="H27" s="1117">
        <f>+'22Autor'!F11</f>
        <v>0</v>
      </c>
      <c r="I27" s="1117" t="str">
        <f>+'22Autor'!E12</f>
        <v>3299. FORTALECIMIENTO DE LA GESTIÓN Y DIRECCIÓN DEL SECTOR AMBIENTE Y DESARROLLO SOSTENIBLE, 3299.03 Fortalecimiento institucional sostenible del ejercicio de la autoridad ambiental regional (seguimiento, control y vigilancia) y apoyo integral de los procesos operativos de trámites ambientales otorgados por la Corporación.</v>
      </c>
      <c r="J27" s="1117" t="str">
        <f>+'22Autor'!E13</f>
        <v>CONCESIONES DE AGUA: Se cuenta con un registro de 923 usuarios y 1325 concesiones agrupadas en 331 expedientes de las cuales se priorizo realizar visita a 167 expedientes debido a que la entidad no cuenta con la capacidad para desarrollar el 100% de los seguimientos requeridos.</v>
      </c>
      <c r="L27" s="1114" t="str">
        <f t="shared" si="0"/>
        <v/>
      </c>
      <c r="M27" s="1114" t="str">
        <f t="shared" si="1"/>
        <v>3299. FORTALECIMIENTO DE LA GESTIÓN Y DIRECCIÓN DEL SECTOR AMBIENTE Y DESARROLLO SOSTENIBLE, 3299.03 Fortalecimiento institucional sostenible del ejercicio de la autoridad ambiental regional (seguimiento, control y vigilancia) y apoyo integral de los procesos operativos de trámites ambientales otorgados por la Corporación.</v>
      </c>
      <c r="N27" s="1115" t="str">
        <f t="shared" si="2"/>
        <v>CONCESIONES DE AGUA: Se cuenta con un registro de 923 usuarios y 1325 concesiones agrupadas en 331 expedientes de las cuales se priorizo realizar visita a 167 expedientes debido a que la entidad no cuenta con la capacidad para desarrollar el 100% de los seguimientos requeridos.</v>
      </c>
      <c r="O27" s="1195" t="s">
        <v>880</v>
      </c>
      <c r="P27" s="1196"/>
    </row>
    <row r="28" spans="1:16" ht="240">
      <c r="A28" s="1193" t="s">
        <v>1167</v>
      </c>
      <c r="B28" s="1113" t="s">
        <v>943</v>
      </c>
      <c r="C28" s="1118">
        <v>0.15</v>
      </c>
      <c r="D28" s="1121">
        <f>+'22Autor'!D8</f>
        <v>0.81511781394492633</v>
      </c>
      <c r="E28" s="1189"/>
      <c r="F28" s="1189"/>
      <c r="H28" s="1117">
        <f>+'22Autor'!F11</f>
        <v>0</v>
      </c>
      <c r="I28" s="1117" t="str">
        <f>+'22Autor'!E12</f>
        <v>3299. FORTALECIMIENTO DE LA GESTIÓN Y DIRECCIÓN DEL SECTOR AMBIENTE Y DESARROLLO SOSTENIBLE, 3299.03 Fortalecimiento institucional sostenible del ejercicio de la autoridad ambiental regional (seguimiento, control y vigilancia) y apoyo integral de los procesos operativos de trámites ambientales otorgados por la Corporación.</v>
      </c>
      <c r="J28" s="1117" t="str">
        <f>+'22Autor'!E13</f>
        <v>CONCESIONES DE AGUA: Se cuenta con un registro de 923 usuarios y 1325 concesiones agrupadas en 331 expedientes de las cuales se priorizo realizar visita a 167 expedientes debido a que la entidad no cuenta con la capacidad para desarrollar el 100% de los seguimientos requeridos.</v>
      </c>
      <c r="L28" s="1114" t="str">
        <f t="shared" si="0"/>
        <v/>
      </c>
      <c r="M28" s="1114" t="str">
        <f t="shared" si="1"/>
        <v>3299. FORTALECIMIENTO DE LA GESTIÓN Y DIRECCIÓN DEL SECTOR AMBIENTE Y DESARROLLO SOSTENIBLE, 3299.03 Fortalecimiento institucional sostenible del ejercicio de la autoridad ambiental regional (seguimiento, control y vigilancia) y apoyo integral de los procesos operativos de trámites ambientales otorgados por la Corporación.</v>
      </c>
      <c r="N28" s="1115" t="str">
        <f t="shared" si="2"/>
        <v>CONCESIONES DE AGUA: Se cuenta con un registro de 923 usuarios y 1325 concesiones agrupadas en 331 expedientes de las cuales se priorizo realizar visita a 167 expedientes debido a que la entidad no cuenta con la capacidad para desarrollar el 100% de los seguimientos requeridos.</v>
      </c>
      <c r="O28" s="1195" t="s">
        <v>880</v>
      </c>
      <c r="P28" s="1196"/>
    </row>
    <row r="29" spans="1:16" ht="105">
      <c r="A29" s="1193" t="s">
        <v>1168</v>
      </c>
      <c r="B29" s="1113" t="s">
        <v>964</v>
      </c>
      <c r="C29" s="1118">
        <v>1</v>
      </c>
      <c r="D29" s="1121">
        <f>'24POT'!D7</f>
        <v>1</v>
      </c>
      <c r="E29" s="1189"/>
      <c r="F29" s="1189"/>
      <c r="H29" s="1117">
        <f>'24POT'!F10</f>
        <v>0</v>
      </c>
      <c r="I29" s="1117" t="str">
        <f>'24POT'!E11</f>
        <v>3205. ORDENAMIENTO AMBIENTAL TERRITORIAL, 3205.02 Asistencia técnica a todos los municipios de la jurisdicción en los procesos de revisión y ajuste de los POT, siguiendo guias del SINA</v>
      </c>
      <c r="J29" s="1117">
        <f>'24POT'!E12</f>
        <v>0</v>
      </c>
      <c r="L29" s="1114" t="str">
        <f t="shared" si="0"/>
        <v/>
      </c>
      <c r="M29" s="1114" t="str">
        <f t="shared" si="1"/>
        <v>3205. ORDENAMIENTO AMBIENTAL TERRITORIAL, 3205.02 Asistencia técnica a todos los municipios de la jurisdicción en los procesos de revisión y ajuste de los POT, siguiendo guias del SINA</v>
      </c>
      <c r="N29" s="1115" t="str">
        <f t="shared" si="2"/>
        <v/>
      </c>
      <c r="O29" s="1195" t="s">
        <v>880</v>
      </c>
      <c r="P29" s="1196"/>
    </row>
    <row r="30" spans="1:16" ht="156" customHeight="1">
      <c r="A30" s="1193" t="s">
        <v>1169</v>
      </c>
      <c r="B30" s="1113" t="s">
        <v>993</v>
      </c>
      <c r="C30" s="1118">
        <v>1</v>
      </c>
      <c r="D30" s="1121">
        <f>+'25Redes'!D8</f>
        <v>0.5</v>
      </c>
      <c r="E30" s="1189"/>
      <c r="F30" s="1189"/>
      <c r="H30" s="1117">
        <f>+'25Redes'!F11</f>
        <v>0</v>
      </c>
      <c r="I30" s="1117" t="str">
        <f>+'25Redes'!E12</f>
        <v xml:space="preserve">3201. FORTALECIMIENTO DEL DESEMPEÑO AMBIENTAL DE LOS SECTORES PRODUCTIVOS.  3201.06.  Gestión integral del recurso aire, articulada a  la prioridad regional del MADS,  en áreas estratégicas del dpto del Cesar. </v>
      </c>
      <c r="J30" s="1117" t="str">
        <f>+'25Redes'!E13</f>
        <v>Número de estaciones de monitoreo del aire instaladas 17 de las cuales,  17 monitorean  PM10 y 11 PM2.5</v>
      </c>
      <c r="L30" s="1114" t="str">
        <f t="shared" si="0"/>
        <v/>
      </c>
      <c r="M30" s="1114" t="str">
        <f t="shared" si="1"/>
        <v xml:space="preserve">3201. FORTALECIMIENTO DEL DESEMPEÑO AMBIENTAL DE LOS SECTORES PRODUCTIVOS.  3201.06.  Gestión integral del recurso aire, articulada a  la prioridad regional del MADS,  en áreas estratégicas del dpto del Cesar. </v>
      </c>
      <c r="N30" s="1115" t="str">
        <f t="shared" si="2"/>
        <v>Número de estaciones de monitoreo del aire instaladas 17 de las cuales,  17 monitorean  PM10 y 11 PM2.5</v>
      </c>
      <c r="O30" s="1195" t="s">
        <v>880</v>
      </c>
      <c r="P30" s="1196"/>
    </row>
    <row r="31" spans="1:16" ht="156.75" customHeight="1">
      <c r="A31" s="1193" t="s">
        <v>1170</v>
      </c>
      <c r="B31" s="1113" t="s">
        <v>1063</v>
      </c>
      <c r="C31" s="1118">
        <v>0.56999999999999995</v>
      </c>
      <c r="D31" s="1121">
        <f>+'26SIAC'!D8</f>
        <v>0.97347209468421581</v>
      </c>
      <c r="E31" s="1189"/>
      <c r="F31" s="1189"/>
      <c r="H31" s="1117">
        <f>+'26SIAC'!F11</f>
        <v>0</v>
      </c>
      <c r="I31" s="1117" t="str">
        <f>+'26SIAC'!E12</f>
        <v xml:space="preserve">3204. GESTIÓN DE LA INFORMACIÓN Y EL CONOCIMIENTO AMBIENTAL, 3204.01  Gestión de conocimiento e información ambiental para la promoción del 
desarrollo ambiental sostenible. </v>
      </c>
      <c r="J31" s="1117" t="str">
        <f>+'26SIAC'!E13</f>
        <v>SIRH: En la vigencia 2022 se organizo la informacion a reportar en la plantilla para cargue masivo, estamos a la espera de los productos de una consultoria que entregara la codificacion de fuentes hidricas para realizar cargue a la plataforma 
SNIF: La corporacion tiene el reporte para cargue pero la plataforma no esta habilitada para tal fin</v>
      </c>
      <c r="L31" s="1114" t="str">
        <f t="shared" si="0"/>
        <v/>
      </c>
      <c r="M31" s="1114" t="str">
        <f t="shared" si="1"/>
        <v xml:space="preserve">3204. GESTIÓN DE LA INFORMACIÓN Y EL CONOCIMIENTO AMBIENTAL, 3204.01  Gestión de conocimiento e información ambiental para la promoción del 
desarrollo ambiental sostenible. </v>
      </c>
      <c r="N31" s="1115" t="str">
        <f t="shared" si="2"/>
        <v>SIRH: En la vigencia 2022 se organizo la informacion a reportar en la plantilla para cargue masivo, estamos a la espera de los productos de una consultoria que entregara la codificacion de fuentes hidricas para realizar cargue a la plataforma 
SNIF: La corporacion tiene el reporte para cargue pero la plataforma no esta habilitada para tal fin</v>
      </c>
      <c r="O31" s="1195" t="s">
        <v>880</v>
      </c>
      <c r="P31" s="1196"/>
    </row>
    <row r="32" spans="1:16" ht="62.25" customHeight="1">
      <c r="A32" s="1193" t="s">
        <v>1171</v>
      </c>
      <c r="B32" s="1113" t="s">
        <v>1110</v>
      </c>
      <c r="C32" s="1118">
        <v>1</v>
      </c>
      <c r="D32" s="1121">
        <f>+'27Educa'!D8</f>
        <v>0.98799999999999988</v>
      </c>
      <c r="E32" s="1189"/>
      <c r="F32" s="1189"/>
      <c r="H32" s="1117">
        <f>+'27Educa'!F11</f>
        <v>0</v>
      </c>
      <c r="I32" s="1117" t="str">
        <f>+'27Educa'!E12</f>
        <v>3208. EDUCACIÓN AMBIENTAL, 3208.01, 3208.02, 3208.03</v>
      </c>
      <c r="J32" s="1117">
        <f>+'27Educa'!E13</f>
        <v>0</v>
      </c>
      <c r="L32" s="1114" t="str">
        <f t="shared" si="0"/>
        <v/>
      </c>
      <c r="M32" s="1114" t="str">
        <f t="shared" si="1"/>
        <v>3208. EDUCACIÓN AMBIENTAL, 3208.01, 3208.02, 3208.03</v>
      </c>
      <c r="N32" s="1115" t="str">
        <f t="shared" si="2"/>
        <v/>
      </c>
      <c r="O32" s="1195" t="s">
        <v>880</v>
      </c>
      <c r="P32" s="1196"/>
    </row>
    <row r="33" spans="3:3">
      <c r="C33" s="1197"/>
    </row>
    <row r="34" spans="3:3">
      <c r="C34" s="1197"/>
    </row>
    <row r="35" spans="3:3">
      <c r="C35" s="1197"/>
    </row>
    <row r="36" spans="3:3">
      <c r="C36" s="1197"/>
    </row>
    <row r="37" spans="3:3">
      <c r="C37" s="1197"/>
    </row>
    <row r="38" spans="3:3">
      <c r="C38" s="1197"/>
    </row>
    <row r="39" spans="3:3">
      <c r="C39" s="1197"/>
    </row>
    <row r="40" spans="3:3">
      <c r="C40" s="1197"/>
    </row>
  </sheetData>
  <mergeCells count="4">
    <mergeCell ref="A1:P1"/>
    <mergeCell ref="A3:P3"/>
    <mergeCell ref="A4:B4"/>
    <mergeCell ref="A2:P2"/>
  </mergeCells>
  <conditionalFormatting sqref="D6:D32">
    <cfRule type="colorScale" priority="21">
      <colorScale>
        <cfvo type="min"/>
        <cfvo type="percentile" val="50"/>
        <cfvo type="max"/>
        <color rgb="FFF8696B"/>
        <color rgb="FFFFEB84"/>
        <color rgb="FF63BE7B"/>
      </colorScale>
    </cfRule>
  </conditionalFormatting>
  <conditionalFormatting sqref="H7:I32">
    <cfRule type="colorScale" priority="18">
      <colorScale>
        <cfvo type="min"/>
        <cfvo type="percentile" val="50"/>
        <cfvo type="max"/>
        <color rgb="FFF8696B"/>
        <color rgb="FFFFEB84"/>
        <color rgb="FF63BE7B"/>
      </colorScale>
    </cfRule>
  </conditionalFormatting>
  <conditionalFormatting sqref="L6:L7">
    <cfRule type="colorScale" priority="14">
      <colorScale>
        <cfvo type="min"/>
        <cfvo type="percentile" val="50"/>
        <cfvo type="max"/>
        <color rgb="FFF8696B"/>
        <color rgb="FFFFEB84"/>
        <color rgb="FF63BE7B"/>
      </colorScale>
    </cfRule>
  </conditionalFormatting>
  <conditionalFormatting sqref="L8:L32">
    <cfRule type="colorScale" priority="13">
      <colorScale>
        <cfvo type="min"/>
        <cfvo type="percentile" val="50"/>
        <cfvo type="max"/>
        <color rgb="FFF8696B"/>
        <color rgb="FFFFEB84"/>
        <color rgb="FF63BE7B"/>
      </colorScale>
    </cfRule>
  </conditionalFormatting>
  <conditionalFormatting sqref="M6:M32">
    <cfRule type="colorScale" priority="12">
      <colorScale>
        <cfvo type="min"/>
        <cfvo type="percentile" val="50"/>
        <cfvo type="max"/>
        <color rgb="FFF8696B"/>
        <color rgb="FFFFEB84"/>
        <color rgb="FF63BE7B"/>
      </colorScale>
    </cfRule>
  </conditionalFormatting>
  <conditionalFormatting sqref="N6">
    <cfRule type="colorScale" priority="10">
      <colorScale>
        <cfvo type="min"/>
        <cfvo type="percentile" val="50"/>
        <cfvo type="max"/>
        <color rgb="FFF8696B"/>
        <color rgb="FFFFEB84"/>
        <color rgb="FF63BE7B"/>
      </colorScale>
    </cfRule>
  </conditionalFormatting>
  <conditionalFormatting sqref="N7:N32">
    <cfRule type="colorScale" priority="8">
      <colorScale>
        <cfvo type="min"/>
        <cfvo type="percentile" val="50"/>
        <cfvo type="max"/>
        <color rgb="FFF8696B"/>
        <color rgb="FFFFEB84"/>
        <color rgb="FF63BE7B"/>
      </colorScale>
    </cfRule>
  </conditionalFormatting>
  <conditionalFormatting sqref="J7:J32">
    <cfRule type="colorScale" priority="7">
      <colorScale>
        <cfvo type="min"/>
        <cfvo type="percentile" val="50"/>
        <cfvo type="max"/>
        <color rgb="FFF8696B"/>
        <color rgb="FFFFEB84"/>
        <color rgb="FF63BE7B"/>
      </colorScale>
    </cfRule>
  </conditionalFormatting>
  <conditionalFormatting sqref="H6:I6">
    <cfRule type="colorScale" priority="6">
      <colorScale>
        <cfvo type="min"/>
        <cfvo type="percentile" val="50"/>
        <cfvo type="max"/>
        <color rgb="FFF8696B"/>
        <color rgb="FFFFEB84"/>
        <color rgb="FF63BE7B"/>
      </colorScale>
    </cfRule>
  </conditionalFormatting>
  <conditionalFormatting sqref="J6">
    <cfRule type="colorScale" priority="5">
      <colorScale>
        <cfvo type="min"/>
        <cfvo type="percentile" val="50"/>
        <cfvo type="max"/>
        <color rgb="FFF8696B"/>
        <color rgb="FFFFEB84"/>
        <color rgb="FF63BE7B"/>
      </colorScale>
    </cfRule>
  </conditionalFormatting>
  <conditionalFormatting sqref="O6">
    <cfRule type="colorScale" priority="2">
      <colorScale>
        <cfvo type="min"/>
        <cfvo type="percentile" val="50"/>
        <cfvo type="max"/>
        <color rgb="FFF8696B"/>
        <color rgb="FFFFEB84"/>
        <color rgb="FF63BE7B"/>
      </colorScale>
    </cfRule>
  </conditionalFormatting>
  <conditionalFormatting sqref="O7:O32">
    <cfRule type="colorScale" priority="1">
      <colorScale>
        <cfvo type="min"/>
        <cfvo type="percentile" val="50"/>
        <cfvo type="max"/>
        <color rgb="FFF8696B"/>
        <color rgb="FFFFEB84"/>
        <color rgb="FF63BE7B"/>
      </colorScale>
    </cfRule>
  </conditionalFormatting>
  <hyperlinks>
    <hyperlink ref="B6" location="'1POMCAS'!A1" display="Porcentaje de avance en la formulación y/o ajuste de los Planes de Ordenación y Manejo de Cuencas (POMCAS), Planes de Manejo de Acuíferos (PMA) y Planes de Manejo de Microcuencas (PMM)"/>
    <hyperlink ref="B7" location="'2PORH'!A1" display="Porcentaje de cuerpos de agua con planes de ordenamiento del recurso hídrico (PORH) adoptados"/>
    <hyperlink ref="B8" location="'3PSMV'!_Toc467769470" display="Porcentaje de Planes de Saneamiento y Manejo de Vertimientos (PSMV) con seguimiento"/>
    <hyperlink ref="B9" location="'4UsoAguas'!_Toc467769471" display="Porcentaje de cuerpos de agua con reglamentación del uso de las aguas"/>
    <hyperlink ref="B10" location="'5PUEAA'!_Toc467769472" display="Porcentaje de Programas de Uso Eficiente y Ahorro del Agua (PUEAA) con seguimiento"/>
    <hyperlink ref="B11" location="'6POMCASejec'!_Toc467769473" display="Porcentaje de Planes de Ordenación y Manejo de Cuencas (POMCAS), Planes de Manejo de Acuíferos (PMA) y Planes de Manejo de Microcuencas (PMM) en ejecución"/>
    <hyperlink ref="B12" location="'7Clima'!_Toc467769474" display="Porcentaje de entes territoriales asesorados en la incorporación, planificación y ejecución de acciones relacionadas con cambio climático en el marco de los instrumentos de planificación territorial"/>
    <hyperlink ref="B13" location="'8Suelo'!_Toc467769475" display="Porcentaje de suelos degradados en recuperación o rehabilitación"/>
    <hyperlink ref="B14" location="'9RUNAP'!_Toc467769476" display="Porcentaje de la superficie de áreas protegidas regionales declaradas, homologadas o recategorizadas, inscritas en el RUNAP"/>
    <hyperlink ref="B15" location="'10Paramos'!_Toc467769477" display="Porcentaje de páramos delimitados por el MADS, con zonificación y régimen de usos adoptados por la CAR"/>
    <hyperlink ref="B16" location="'11Forest'!_Toc467769478" display="Porcentaje de avance en la formulación del Plan de Ordenación Forestal"/>
    <hyperlink ref="B17" location="'12PlanesAP'!_Toc467769479" display="Porcentaje de áreas protegidas con planes de manejo en ejecución"/>
    <hyperlink ref="B18" location="'13Amenaz'!_Toc467769480" display="Porcentaje de especies amenazadas con medidas de conservación y manejo en ejecución"/>
    <hyperlink ref="B19" location="'14Invasor'!_Toc467769481" display="Porcentaje de especies invasoras con medidas de prevención, control y manejo en ejecución"/>
    <hyperlink ref="B20" location="'15Restaura'!_Toc467769482" display="Porcentaje de áreas de ecosistemas en restauración, rehabilitación y reforestación"/>
    <hyperlink ref="B21" location="'16MIZC'!_Toc467769483" display="Implementación de acciones en manejo integrado de zonas costeras"/>
    <hyperlink ref="B22" location="'17PGIRS'!_Toc467769484" display="Porcentaje de Planes de Gestión Integral de Residuos Sólidos (PGIRS) con seguimiento a metas de aprovechamiento"/>
    <hyperlink ref="B23" location="'18Sector'!_Toc467769485" display="Porcentaje de sectores con acompañamiento para la reconversión hacia sistemas sostenibles de producción"/>
    <hyperlink ref="B24" location="'19GAU'!_Toc467769486" display="Porcentaje de ejecución de acciones en Gestión Ambiental Urbana"/>
    <hyperlink ref="B25" location="'20Negoc'!_Toc467769487" display="Implementación del Programa Regional de Negocios Verdes por la autoridad ambiental"/>
    <hyperlink ref="B27" location="'22Autor'!_Toc467769489" display="Porcentaje de autorizaciones ambientales con seguimiento"/>
    <hyperlink ref="B28" location="'23Sanc'!_Toc467769490" display="Porcentaje de Procesos Sancionatorios Resueltos"/>
    <hyperlink ref="B29" location="'24POT'!_Toc467769491" display="Porcentaje de municipios asesorados o asistidos en la inclusión del componente ambiental en los procesos de planificación y ordenamiento territorial, con énfasis en la incorporación de las determinantes ambientales para la revisión y ajuste de los POT"/>
    <hyperlink ref="B30" location="'25Redes'!_Toc467769492" display="Porcentaje de redes y estaciones de monitoreo en operación"/>
    <hyperlink ref="B31" location="'26SIAC'!_Toc467769493" display="Porcentaje de actualización y reporte de la información en el SIAC"/>
    <hyperlink ref="B32" location="'27Educa'!_Toc467769494" display="Ejecución de Acciones en Educación Ambiental"/>
    <hyperlink ref="B26" location="'21TiempoT'!_Toc467769488" display="Tiempo promedio de trámite para la resolución de autorizaciones ambientales otorgadas por la corporación"/>
  </hyperlinks>
  <pageMargins left="0.7" right="0.7" top="0.75" bottom="0.75" header="0.3" footer="0.3"/>
  <pageSetup paperSize="178" orientation="portrait" horizontalDpi="1200" verticalDpi="1200" r:id="rId1"/>
  <ignoredErrors>
    <ignoredError sqref="D20" evalError="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workbookViewId="0">
      <selection activeCell="C2" sqref="C2"/>
    </sheetView>
  </sheetViews>
  <sheetFormatPr baseColWidth="10" defaultRowHeight="15"/>
  <cols>
    <col min="1" max="1" width="11.42578125" style="1123"/>
    <col min="2" max="2" width="88.28515625" style="1123" customWidth="1"/>
    <col min="3" max="3" width="26.5703125" style="1209" customWidth="1"/>
    <col min="4" max="16384" width="11.42578125" style="1123"/>
  </cols>
  <sheetData>
    <row r="1" spans="1:3" ht="15.75" thickBot="1">
      <c r="A1" s="1200" t="s">
        <v>19</v>
      </c>
      <c r="B1" s="1201" t="s">
        <v>1179</v>
      </c>
      <c r="C1" s="1201">
        <v>2022</v>
      </c>
    </row>
    <row r="2" spans="1:3" ht="45.75" thickBot="1">
      <c r="A2" s="1202" t="s">
        <v>1144</v>
      </c>
      <c r="B2" s="1203" t="s">
        <v>1145</v>
      </c>
      <c r="C2" s="1204">
        <v>0.8</v>
      </c>
    </row>
    <row r="3" spans="1:3" ht="30.75" thickBot="1">
      <c r="A3" s="1202" t="s">
        <v>1146</v>
      </c>
      <c r="B3" s="1203" t="s">
        <v>131</v>
      </c>
      <c r="C3" s="1205" t="s">
        <v>2136</v>
      </c>
    </row>
    <row r="4" spans="1:3" ht="15.75" thickBot="1">
      <c r="A4" s="1202" t="s">
        <v>1147</v>
      </c>
      <c r="B4" s="1203" t="s">
        <v>162</v>
      </c>
      <c r="C4" s="1204">
        <v>1</v>
      </c>
    </row>
    <row r="5" spans="1:3" ht="29.25" thickBot="1">
      <c r="A5" s="1202" t="s">
        <v>1148</v>
      </c>
      <c r="B5" s="1203" t="s">
        <v>183</v>
      </c>
      <c r="C5" s="1205" t="s">
        <v>2136</v>
      </c>
    </row>
    <row r="6" spans="1:3" ht="15.75" thickBot="1">
      <c r="A6" s="1202" t="s">
        <v>1149</v>
      </c>
      <c r="B6" s="1203" t="s">
        <v>200</v>
      </c>
      <c r="C6" s="1204">
        <v>1</v>
      </c>
    </row>
    <row r="7" spans="1:3" ht="30" customHeight="1" thickBot="1">
      <c r="A7" s="1202" t="s">
        <v>1150</v>
      </c>
      <c r="B7" s="1203" t="s">
        <v>220</v>
      </c>
      <c r="C7" s="1204">
        <v>1</v>
      </c>
    </row>
    <row r="8" spans="1:3" ht="45.75" thickBot="1">
      <c r="A8" s="1202" t="s">
        <v>1151</v>
      </c>
      <c r="B8" s="1203" t="s">
        <v>280</v>
      </c>
      <c r="C8" s="1204">
        <v>1</v>
      </c>
    </row>
    <row r="9" spans="1:3">
      <c r="A9" s="1206" t="s">
        <v>1152</v>
      </c>
      <c r="B9" s="1207" t="s">
        <v>314</v>
      </c>
      <c r="C9" s="1208">
        <v>1</v>
      </c>
    </row>
    <row r="10" spans="1:3" ht="30.75" thickBot="1">
      <c r="A10" s="1202" t="s">
        <v>1153</v>
      </c>
      <c r="B10" s="1203" t="s">
        <v>348</v>
      </c>
      <c r="C10" s="1205" t="s">
        <v>2136</v>
      </c>
    </row>
    <row r="11" spans="1:3" ht="30.75" thickBot="1">
      <c r="A11" s="1202" t="s">
        <v>1154</v>
      </c>
      <c r="B11" s="1203" t="s">
        <v>396</v>
      </c>
      <c r="C11" s="1204">
        <v>0</v>
      </c>
    </row>
    <row r="12" spans="1:3" ht="29.25" thickBot="1">
      <c r="A12" s="1202" t="s">
        <v>1155</v>
      </c>
      <c r="B12" s="1203" t="s">
        <v>418</v>
      </c>
      <c r="C12" s="1205" t="s">
        <v>2136</v>
      </c>
    </row>
    <row r="13" spans="1:3" ht="15.75" thickBot="1">
      <c r="A13" s="1202" t="s">
        <v>1156</v>
      </c>
      <c r="B13" s="1203" t="s">
        <v>449</v>
      </c>
      <c r="C13" s="1204">
        <v>1</v>
      </c>
    </row>
    <row r="14" spans="1:3" ht="15.75" thickBot="1">
      <c r="A14" s="1202" t="s">
        <v>1157</v>
      </c>
      <c r="B14" s="1203" t="s">
        <v>480</v>
      </c>
      <c r="C14" s="1204">
        <v>1</v>
      </c>
    </row>
    <row r="15" spans="1:3" ht="15.75" thickBot="1">
      <c r="A15" s="1202" t="s">
        <v>1158</v>
      </c>
      <c r="B15" s="1203" t="s">
        <v>526</v>
      </c>
      <c r="C15" s="1204">
        <v>1</v>
      </c>
    </row>
    <row r="16" spans="1:3" ht="15.75" thickBot="1">
      <c r="A16" s="1202" t="s">
        <v>1159</v>
      </c>
      <c r="B16" s="1203" t="s">
        <v>557</v>
      </c>
      <c r="C16" s="1204">
        <v>0.93</v>
      </c>
    </row>
    <row r="17" spans="1:3" ht="15.75" thickBot="1">
      <c r="A17" s="1202" t="s">
        <v>1160</v>
      </c>
      <c r="B17" s="1203" t="s">
        <v>585</v>
      </c>
      <c r="C17" s="1205" t="s">
        <v>1232</v>
      </c>
    </row>
    <row r="18" spans="1:3" ht="30.75" thickBot="1">
      <c r="A18" s="1202" t="s">
        <v>1161</v>
      </c>
      <c r="B18" s="1203" t="s">
        <v>634</v>
      </c>
      <c r="C18" s="1204">
        <v>1</v>
      </c>
    </row>
    <row r="19" spans="1:3" ht="30.75" thickBot="1">
      <c r="A19" s="1202" t="s">
        <v>1162</v>
      </c>
      <c r="B19" s="1203" t="s">
        <v>655</v>
      </c>
      <c r="C19" s="1204">
        <v>0.89</v>
      </c>
    </row>
    <row r="20" spans="1:3" ht="15.75" thickBot="1">
      <c r="A20" s="1202" t="s">
        <v>1163</v>
      </c>
      <c r="B20" s="1203" t="s">
        <v>702</v>
      </c>
      <c r="C20" s="1204">
        <v>1</v>
      </c>
    </row>
    <row r="21" spans="1:3" ht="15.75" thickBot="1">
      <c r="A21" s="1202" t="s">
        <v>1164</v>
      </c>
      <c r="B21" s="1203" t="s">
        <v>772</v>
      </c>
      <c r="C21" s="1204">
        <v>0.65</v>
      </c>
    </row>
    <row r="22" spans="1:3" ht="30.75" thickBot="1">
      <c r="A22" s="1202" t="s">
        <v>1165</v>
      </c>
      <c r="B22" s="1203" t="s">
        <v>832</v>
      </c>
      <c r="C22" s="1204">
        <v>0.84</v>
      </c>
    </row>
    <row r="23" spans="1:3" ht="15.75" thickBot="1">
      <c r="A23" s="1202" t="s">
        <v>1166</v>
      </c>
      <c r="B23" s="1203" t="s">
        <v>879</v>
      </c>
      <c r="C23" s="1204">
        <v>0.81</v>
      </c>
    </row>
    <row r="24" spans="1:3" ht="15.75" thickBot="1">
      <c r="A24" s="1202" t="s">
        <v>1167</v>
      </c>
      <c r="B24" s="1203" t="s">
        <v>943</v>
      </c>
      <c r="C24" s="1204">
        <v>0.81</v>
      </c>
    </row>
    <row r="25" spans="1:3" ht="45.75" thickBot="1">
      <c r="A25" s="1202" t="s">
        <v>1168</v>
      </c>
      <c r="B25" s="1203" t="s">
        <v>964</v>
      </c>
      <c r="C25" s="1204">
        <v>1</v>
      </c>
    </row>
    <row r="26" spans="1:3" ht="15.75" thickBot="1">
      <c r="A26" s="1202" t="s">
        <v>1169</v>
      </c>
      <c r="B26" s="1203" t="s">
        <v>993</v>
      </c>
      <c r="C26" s="1204">
        <v>1</v>
      </c>
    </row>
    <row r="27" spans="1:3" ht="15.75" thickBot="1">
      <c r="A27" s="1202" t="s">
        <v>1170</v>
      </c>
      <c r="B27" s="1203" t="s">
        <v>1063</v>
      </c>
      <c r="C27" s="1204">
        <v>0.92</v>
      </c>
    </row>
    <row r="28" spans="1:3" ht="15.75" thickBot="1">
      <c r="A28" s="1202" t="s">
        <v>1171</v>
      </c>
      <c r="B28" s="1203" t="s">
        <v>1110</v>
      </c>
      <c r="C28" s="1204">
        <v>1</v>
      </c>
    </row>
  </sheetData>
  <hyperlinks>
    <hyperlink ref="B28" r:id="rId1" location="Hoja2!_Toc467769494" display="Anexos 1-5.2A-IMG.xlsx - Hoja2!_Toc467769494"/>
    <hyperlink ref="B27" r:id="rId2" location="Hoja2!_Toc467769493" display="Anexos 1-5.2A-IMG.xlsx - Hoja2!_Toc467769493"/>
    <hyperlink ref="B26" r:id="rId3" location="Hoja2!_Toc467769492" display="Anexos 1-5.2A-IMG.xlsx - Hoja2!_Toc467769492"/>
    <hyperlink ref="B25" r:id="rId4" location="Hoja2!_Toc467769491" display="Anexos 1-5.2A-IMG.xlsx - Hoja2!_Toc467769491"/>
    <hyperlink ref="B24" r:id="rId5" location="Hoja2!_Toc467769490" display="Anexos 1-5.2A-IMG.xlsx - Hoja2!_Toc467769490"/>
    <hyperlink ref="B23" r:id="rId6" location="Hoja2!_Toc467769489" display="Anexos 1-5.2A-IMG.xlsx - Hoja2!_Toc467769489"/>
    <hyperlink ref="B22" r:id="rId7" location="Hoja2!_Toc467769488" display="Anexos 1-5.2A-IMG.xlsx - Hoja2!_Toc467769488"/>
    <hyperlink ref="B21" r:id="rId8" location="Hoja2!_Toc467769487" display="Anexos 1-5.2A-IMG.xlsx - Hoja2!_Toc467769487"/>
    <hyperlink ref="B20" r:id="rId9" location="Hoja2!_Toc467769486" display="Anexos 1-5.2A-IMG.xlsx - Hoja2!_Toc467769486"/>
    <hyperlink ref="B19" r:id="rId10" location="Hoja2!_Toc467769485" display="Anexos 1-5.2A-IMG.xlsx - Hoja2!_Toc467769485"/>
    <hyperlink ref="B18" r:id="rId11" location="Hoja2!_Toc467769484" display="Anexos 1-5.2A-IMG.xlsx - Hoja2!_Toc467769484"/>
    <hyperlink ref="B17" r:id="rId12" location="Hoja2!_Toc467769483" display="Anexos 1-5.2A-IMG.xlsx - Hoja2!_Toc467769483"/>
    <hyperlink ref="B16" r:id="rId13" location="Hoja2!_Toc467769482" display="Anexos 1-5.2A-IMG.xlsx - Hoja2!_Toc467769482"/>
    <hyperlink ref="B15" r:id="rId14" location="Hoja2!_Toc467769481" display="Anexos 1-5.2A-IMG.xlsx - Hoja2!_Toc467769481"/>
    <hyperlink ref="B14" r:id="rId15" location="Hoja2!_Toc467769480" display="Anexos 1-5.2A-IMG.xlsx - Hoja2!_Toc467769480"/>
    <hyperlink ref="B13" r:id="rId16" location="Hoja2!_Toc467769479" display="Anexos 1-5.2A-IMG.xlsx - Hoja2!_Toc467769479"/>
    <hyperlink ref="B12" r:id="rId17" location="Hoja2!_Toc467769478" display="Anexos 1-5.2A-IMG.xlsx - Hoja2!_Toc467769478"/>
    <hyperlink ref="B11" r:id="rId18" location="Hoja2!_Toc467769477" display="Anexos 1-5.2A-IMG.xlsx - Hoja2!_Toc467769477"/>
    <hyperlink ref="B10" r:id="rId19" location="'9RUNAP'!_Toc467769476" display="Anexos 1-5.2A-IMG.xlsx - '9RUNAP'!_Toc467769476"/>
    <hyperlink ref="B9" r:id="rId20" location="Hoja2!_Toc467769475" display="Anexos 1-5.2A-IMG.xlsx - Hoja2!_Toc467769475"/>
    <hyperlink ref="B8" r:id="rId21" location="Hoja2!_Toc467769474" display="Anexos 1-5.2A-IMG.xlsx - Hoja2!_Toc467769474"/>
    <hyperlink ref="B7" r:id="rId22" location="Hoja2!_Toc467769473" display="Anexos 1-5.2A-IMG.xlsx - Hoja2!_Toc467769473"/>
    <hyperlink ref="B6" r:id="rId23" location="Hoja2!_Toc467769472" display="Anexos 1-5.2A-IMG.xlsx - Hoja2!_Toc467769472"/>
    <hyperlink ref="B5" r:id="rId24" location="Hoja2!_Toc467769471" display="Anexos 1-5.2A-IMG.xlsx - Hoja2!_Toc467769471"/>
    <hyperlink ref="B4" r:id="rId25" location="Hoja2!_Toc467769470" display="Anexos 1-5.2A-IMG.xlsx - Hoja2!_Toc467769470"/>
    <hyperlink ref="B3" r:id="rId26" location="'2PORH'!A1" display="Anexos 1-5.2A-IMG.xlsx - '2PORH'!A1"/>
    <hyperlink ref="B2" r:id="rId27" location="'1POMCAS'!A1" display="Anexos 1-5.2A-IMG.xlsx - '1POMCAS'!A1"/>
  </hyperlinks>
  <pageMargins left="0.7" right="0.7" top="0.75" bottom="0.75" header="0.3" footer="0.3"/>
  <pageSetup paperSize="9" orientation="portrait" horizontalDpi="0" verticalDpi="0" r:id="rId2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214"/>
  <sheetViews>
    <sheetView showGridLines="0" zoomScale="98" zoomScaleNormal="98" workbookViewId="0">
      <selection activeCell="F125" sqref="F125"/>
    </sheetView>
  </sheetViews>
  <sheetFormatPr baseColWidth="10" defaultColWidth="11.5703125" defaultRowHeight="15"/>
  <cols>
    <col min="1" max="1" width="1.85546875" style="1" customWidth="1"/>
    <col min="2" max="2" width="12.85546875" style="6" customWidth="1"/>
    <col min="3" max="3" width="5" style="86" bestFit="1" customWidth="1"/>
    <col min="4" max="4" width="34.85546875" style="1" customWidth="1"/>
    <col min="5" max="5" width="12.140625" style="1" customWidth="1"/>
    <col min="6" max="6" width="44.5703125" style="1" customWidth="1"/>
    <col min="7" max="7" width="11.5703125" style="1"/>
    <col min="8" max="8" width="30.28515625" style="1" customWidth="1"/>
    <col min="9" max="16384" width="11.5703125" style="1"/>
  </cols>
  <sheetData>
    <row r="1" spans="1:21" s="490" customFormat="1" ht="100.5" customHeight="1" thickBot="1">
      <c r="A1" s="1334"/>
      <c r="B1" s="1335"/>
      <c r="C1" s="1335"/>
      <c r="D1" s="1335"/>
      <c r="E1" s="1335"/>
      <c r="F1" s="1335"/>
      <c r="G1" s="1335"/>
      <c r="H1" s="1335"/>
      <c r="I1" s="1335"/>
      <c r="J1" s="1335"/>
      <c r="K1" s="1335"/>
      <c r="L1" s="1335"/>
      <c r="M1" s="1335"/>
      <c r="N1" s="1335"/>
      <c r="O1" s="1335"/>
      <c r="P1" s="1336"/>
      <c r="Q1" s="389"/>
      <c r="R1" s="389"/>
    </row>
    <row r="2" spans="1:21" s="491" customFormat="1" ht="16.5" thickBot="1">
      <c r="A2" s="1342" t="str">
        <f>'Datos Generales'!C5</f>
        <v>Corporación Autónoma Regional del Cesar – CORPOCESAR</v>
      </c>
      <c r="B2" s="1343"/>
      <c r="C2" s="1343"/>
      <c r="D2" s="1343"/>
      <c r="E2" s="1343"/>
      <c r="F2" s="1343"/>
      <c r="G2" s="1343"/>
      <c r="H2" s="1343"/>
      <c r="I2" s="1343"/>
      <c r="J2" s="1343"/>
      <c r="K2" s="1343"/>
      <c r="L2" s="1343"/>
      <c r="M2" s="1343"/>
      <c r="N2" s="1343"/>
      <c r="O2" s="1343"/>
      <c r="P2" s="1344"/>
      <c r="Q2" s="389"/>
      <c r="R2" s="389"/>
    </row>
    <row r="3" spans="1:21" s="491" customFormat="1" ht="16.5" thickBot="1">
      <c r="A3" s="1337" t="s">
        <v>1294</v>
      </c>
      <c r="B3" s="1338"/>
      <c r="C3" s="1338"/>
      <c r="D3" s="1338"/>
      <c r="E3" s="1338"/>
      <c r="F3" s="1338"/>
      <c r="G3" s="1338"/>
      <c r="H3" s="1338"/>
      <c r="I3" s="1338"/>
      <c r="J3" s="1338"/>
      <c r="K3" s="1338"/>
      <c r="L3" s="1338"/>
      <c r="M3" s="1338"/>
      <c r="N3" s="1338"/>
      <c r="O3" s="1338"/>
      <c r="P3" s="1339"/>
      <c r="Q3" s="389"/>
      <c r="R3" s="389"/>
    </row>
    <row r="4" spans="1:21" s="491" customFormat="1" ht="16.5" thickBot="1">
      <c r="A4" s="1340" t="s">
        <v>1293</v>
      </c>
      <c r="B4" s="1341"/>
      <c r="C4" s="1341"/>
      <c r="D4" s="1341"/>
      <c r="E4" s="498">
        <v>2022</v>
      </c>
      <c r="F4" s="498"/>
      <c r="G4" s="498"/>
      <c r="H4" s="498"/>
      <c r="I4" s="498"/>
      <c r="J4" s="498"/>
      <c r="K4" s="498"/>
      <c r="L4" s="499"/>
      <c r="M4" s="499"/>
      <c r="N4" s="499"/>
      <c r="O4" s="499"/>
      <c r="P4" s="500"/>
      <c r="Q4" s="389"/>
      <c r="R4" s="389"/>
    </row>
    <row r="5" spans="1:21" s="235" customFormat="1" ht="16.5" customHeight="1" thickBot="1">
      <c r="A5" s="1337" t="s">
        <v>0</v>
      </c>
      <c r="B5" s="1338"/>
      <c r="C5" s="1338"/>
      <c r="D5" s="1338"/>
      <c r="E5" s="1338"/>
      <c r="F5" s="1338"/>
      <c r="G5" s="1338"/>
      <c r="H5" s="1338"/>
      <c r="I5" s="1338"/>
      <c r="J5" s="1338"/>
      <c r="K5" s="1338"/>
      <c r="L5" s="1338"/>
      <c r="M5" s="1338"/>
      <c r="N5" s="1338"/>
      <c r="O5" s="1338"/>
      <c r="P5" s="1339"/>
    </row>
    <row r="6" spans="1:21" s="235" customFormat="1">
      <c r="B6" s="239" t="s">
        <v>1</v>
      </c>
      <c r="C6" s="240"/>
      <c r="D6" s="238"/>
      <c r="E6" s="504"/>
      <c r="F6" s="238" t="s">
        <v>128</v>
      </c>
      <c r="G6" s="238"/>
      <c r="H6" s="238"/>
      <c r="I6" s="238"/>
      <c r="J6" s="238"/>
      <c r="K6" s="238"/>
      <c r="L6" s="238"/>
      <c r="P6" s="389"/>
    </row>
    <row r="7" spans="1:21" s="235" customFormat="1" ht="15.75" thickBot="1">
      <c r="B7" s="241"/>
      <c r="C7" s="242"/>
      <c r="D7" s="238"/>
      <c r="E7" s="243"/>
      <c r="F7" s="244" t="s">
        <v>129</v>
      </c>
      <c r="G7" s="238"/>
      <c r="H7" s="238"/>
      <c r="I7" s="238"/>
      <c r="J7" s="238"/>
      <c r="K7" s="238"/>
      <c r="L7" s="238"/>
      <c r="P7" s="389"/>
    </row>
    <row r="8" spans="1:21" s="235" customFormat="1" ht="15.75" thickBot="1">
      <c r="B8" s="245" t="s">
        <v>1181</v>
      </c>
      <c r="C8" s="1139">
        <v>2022</v>
      </c>
      <c r="D8" s="1140">
        <f ca="1">IF(E10="NO APLICA","NO APLICA",IF(E11="NO SE REPORTA","SIN INFORMACION",+H99))</f>
        <v>0.8</v>
      </c>
      <c r="E8" s="247"/>
      <c r="F8" s="238" t="s">
        <v>130</v>
      </c>
      <c r="G8" s="238"/>
      <c r="H8" s="238"/>
      <c r="I8" s="238"/>
      <c r="J8" s="238"/>
      <c r="K8" s="238"/>
    </row>
    <row r="9" spans="1:21" customFormat="1">
      <c r="A9" s="235"/>
      <c r="B9" s="462" t="s">
        <v>1182</v>
      </c>
      <c r="C9" s="292"/>
      <c r="D9" s="238"/>
      <c r="E9" s="238"/>
      <c r="F9" s="238"/>
      <c r="G9" s="238"/>
      <c r="H9" s="238"/>
      <c r="I9" s="238"/>
      <c r="J9" s="238"/>
      <c r="K9" s="238"/>
      <c r="L9" s="389"/>
      <c r="M9" s="389"/>
      <c r="N9" s="389"/>
      <c r="O9" s="389"/>
      <c r="P9" s="389"/>
    </row>
    <row r="10" spans="1:21" s="389" customFormat="1" ht="15" customHeight="1">
      <c r="A10" s="235"/>
      <c r="B10" s="1392" t="s">
        <v>1236</v>
      </c>
      <c r="C10" s="1392"/>
      <c r="D10" s="1392"/>
      <c r="E10" s="468" t="s">
        <v>1233</v>
      </c>
      <c r="F10" s="1395" t="s">
        <v>2095</v>
      </c>
      <c r="G10" s="1396"/>
      <c r="H10" s="1396"/>
      <c r="I10" s="1396"/>
      <c r="J10" s="1396"/>
      <c r="K10" s="1396"/>
      <c r="L10" s="1396"/>
      <c r="M10" s="1396"/>
      <c r="N10" s="1396"/>
      <c r="O10" s="1396"/>
      <c r="P10" s="1397"/>
      <c r="Q10" s="1137"/>
      <c r="R10" s="1137"/>
      <c r="S10" s="1137"/>
      <c r="T10" s="1137"/>
      <c r="U10" s="464"/>
    </row>
    <row r="11" spans="1:21" s="389" customFormat="1" ht="14.45" customHeight="1">
      <c r="A11" s="1392" t="str">
        <f>IF(E10="SI APLICA","¿El indicador no se reporta por limitaciones de información disponible? ","")</f>
        <v xml:space="preserve">¿El indicador no se reporta por limitaciones de información disponible? </v>
      </c>
      <c r="B11" s="1392"/>
      <c r="C11" s="1392"/>
      <c r="D11" s="1392"/>
      <c r="E11" s="469" t="s">
        <v>1235</v>
      </c>
      <c r="F11" s="1395"/>
      <c r="G11" s="1396"/>
      <c r="H11" s="1396"/>
      <c r="I11" s="1396"/>
      <c r="J11" s="1396"/>
      <c r="K11" s="1396"/>
      <c r="L11" s="1396"/>
      <c r="M11" s="1396"/>
      <c r="N11" s="1396"/>
      <c r="O11" s="1396"/>
      <c r="P11" s="1397"/>
      <c r="Q11" s="1135"/>
      <c r="R11" s="1135"/>
      <c r="S11" s="1135"/>
    </row>
    <row r="12" spans="1:21" s="389" customFormat="1" ht="23.45" customHeight="1">
      <c r="A12" s="235"/>
      <c r="B12" s="1392" t="str">
        <f>IF(E11="SI SE REPORTA","¿Qué programas o proyectos del Plan de Acción están asociados al indicador? ","")</f>
        <v xml:space="preserve">¿Qué programas o proyectos del Plan de Acción están asociados al indicador? </v>
      </c>
      <c r="C12" s="1392"/>
      <c r="D12" s="1393"/>
      <c r="E12" s="1394" t="s">
        <v>2094</v>
      </c>
      <c r="F12" s="1394"/>
      <c r="G12" s="1394"/>
      <c r="H12" s="1394"/>
      <c r="I12" s="1394"/>
      <c r="J12" s="1394"/>
      <c r="K12" s="1394"/>
      <c r="L12" s="1394"/>
      <c r="M12" s="1394"/>
      <c r="N12" s="1394"/>
      <c r="O12" s="1394"/>
      <c r="P12" s="1394"/>
      <c r="Q12" s="1136"/>
      <c r="R12" s="1136"/>
    </row>
    <row r="13" spans="1:21" s="389" customFormat="1" ht="21.95" customHeight="1">
      <c r="A13" s="235"/>
      <c r="B13" s="462"/>
      <c r="C13" s="292"/>
      <c r="D13" s="467" t="s">
        <v>1238</v>
      </c>
      <c r="E13" s="1390"/>
      <c r="F13" s="1391"/>
      <c r="G13" s="1391"/>
      <c r="H13" s="1391"/>
      <c r="I13" s="1391"/>
      <c r="J13" s="1391"/>
      <c r="K13" s="1391"/>
      <c r="L13" s="1391"/>
      <c r="M13" s="1391"/>
      <c r="N13" s="1391"/>
      <c r="O13" s="1391"/>
      <c r="P13" s="1391"/>
      <c r="Q13" s="1138"/>
      <c r="R13" s="1137"/>
    </row>
    <row r="14" spans="1:21" s="389" customFormat="1" ht="6.95" customHeight="1" thickBot="1">
      <c r="A14" s="235"/>
      <c r="B14" s="462"/>
      <c r="C14" s="292"/>
      <c r="D14" s="238"/>
      <c r="E14" s="238"/>
      <c r="F14" s="238"/>
      <c r="G14" s="238"/>
      <c r="H14" s="238"/>
      <c r="I14" s="238"/>
      <c r="J14" s="238"/>
      <c r="K14" s="238"/>
    </row>
    <row r="15" spans="1:21" ht="15.6" customHeight="1" thickBot="1">
      <c r="A15" s="344"/>
      <c r="B15" s="1345" t="s">
        <v>2</v>
      </c>
      <c r="C15" s="345"/>
      <c r="D15" s="1351" t="s">
        <v>3</v>
      </c>
      <c r="E15" s="1352"/>
      <c r="F15" s="1352"/>
      <c r="G15" s="1352"/>
      <c r="H15" s="1352"/>
      <c r="I15" s="1352"/>
      <c r="J15" s="1352"/>
      <c r="K15" s="1353"/>
    </row>
    <row r="16" spans="1:21" ht="48" customHeight="1" thickBot="1">
      <c r="A16" s="344"/>
      <c r="B16" s="1346"/>
      <c r="C16" s="346"/>
      <c r="D16" s="276" t="s">
        <v>4</v>
      </c>
      <c r="E16" s="575">
        <v>19</v>
      </c>
      <c r="F16" s="238"/>
      <c r="G16" s="238"/>
      <c r="H16" s="238"/>
      <c r="I16" s="238"/>
      <c r="J16" s="238"/>
      <c r="K16" s="263"/>
    </row>
    <row r="17" spans="1:11" ht="36.75" thickBot="1">
      <c r="A17" s="344"/>
      <c r="B17" s="1346"/>
      <c r="C17" s="346"/>
      <c r="D17" s="267" t="s">
        <v>5</v>
      </c>
      <c r="E17" s="575">
        <v>1</v>
      </c>
      <c r="F17" s="238"/>
      <c r="G17" s="238"/>
      <c r="H17" s="238"/>
      <c r="I17" s="238"/>
      <c r="J17" s="238"/>
      <c r="K17" s="263"/>
    </row>
    <row r="18" spans="1:11" ht="48.75" thickBot="1">
      <c r="A18" s="344"/>
      <c r="B18" s="1346"/>
      <c r="C18" s="346"/>
      <c r="D18" s="267" t="s">
        <v>2093</v>
      </c>
      <c r="E18" s="575">
        <v>9</v>
      </c>
      <c r="F18" s="238"/>
      <c r="G18" s="238"/>
      <c r="H18" s="238"/>
      <c r="I18" s="238"/>
      <c r="J18" s="238"/>
      <c r="K18" s="263"/>
    </row>
    <row r="19" spans="1:11" ht="24.75" thickBot="1">
      <c r="A19" s="344"/>
      <c r="B19" s="1346"/>
      <c r="C19" s="346"/>
      <c r="D19" s="267" t="s">
        <v>1312</v>
      </c>
      <c r="E19" s="575">
        <v>1</v>
      </c>
      <c r="F19" s="238"/>
      <c r="G19" s="238"/>
      <c r="H19" s="238"/>
      <c r="I19" s="238"/>
      <c r="J19" s="238"/>
      <c r="K19" s="263"/>
    </row>
    <row r="20" spans="1:11" ht="24.75" thickBot="1">
      <c r="A20" s="344"/>
      <c r="B20" s="1346"/>
      <c r="C20" s="346"/>
      <c r="D20" s="267" t="s">
        <v>1313</v>
      </c>
      <c r="E20" s="575">
        <v>1</v>
      </c>
      <c r="F20" s="238"/>
      <c r="G20" s="238"/>
      <c r="H20" s="238"/>
      <c r="I20" s="238"/>
      <c r="J20" s="238"/>
      <c r="K20" s="263"/>
    </row>
    <row r="21" spans="1:11" ht="24.75" thickBot="1">
      <c r="A21" s="344"/>
      <c r="B21" s="1347"/>
      <c r="C21" s="346"/>
      <c r="D21" s="267" t="s">
        <v>1314</v>
      </c>
      <c r="E21" s="575">
        <v>1</v>
      </c>
      <c r="F21" s="238"/>
      <c r="G21" s="238"/>
      <c r="H21" s="238"/>
      <c r="I21" s="238"/>
      <c r="J21" s="238"/>
      <c r="K21" s="263"/>
    </row>
    <row r="22" spans="1:11" ht="14.1" customHeight="1">
      <c r="A22" s="344"/>
      <c r="B22" s="360"/>
      <c r="C22" s="347"/>
      <c r="D22" s="1354" t="s">
        <v>6</v>
      </c>
      <c r="E22" s="1355"/>
      <c r="F22" s="1355"/>
      <c r="G22" s="1355"/>
      <c r="H22" s="1355"/>
      <c r="I22" s="1355"/>
      <c r="J22" s="1355"/>
      <c r="K22" s="1356"/>
    </row>
    <row r="23" spans="1:11" ht="14.1" customHeight="1" thickBot="1">
      <c r="A23" s="344"/>
      <c r="B23" s="360"/>
      <c r="C23" s="347"/>
      <c r="D23" s="1354" t="s">
        <v>7</v>
      </c>
      <c r="E23" s="1355"/>
      <c r="F23" s="1355"/>
      <c r="G23" s="1355"/>
      <c r="H23" s="1355"/>
      <c r="I23" s="1355"/>
      <c r="J23" s="1355"/>
      <c r="K23" s="1356"/>
    </row>
    <row r="24" spans="1:11" s="1053" customFormat="1" ht="54" customHeight="1" thickBot="1">
      <c r="A24" s="1125"/>
      <c r="B24" s="1130"/>
      <c r="C24" s="1131"/>
      <c r="D24" s="1128" t="s">
        <v>8</v>
      </c>
      <c r="E24" s="1128" t="s">
        <v>9</v>
      </c>
      <c r="F24" s="1128" t="s">
        <v>10</v>
      </c>
      <c r="G24" s="1128" t="s">
        <v>1183</v>
      </c>
      <c r="H24" s="1132" t="s">
        <v>2155</v>
      </c>
      <c r="I24" s="1132" t="s">
        <v>2154</v>
      </c>
      <c r="J24" s="1133"/>
      <c r="K24" s="1134"/>
    </row>
    <row r="25" spans="1:11" s="233" customFormat="1" ht="33" customHeight="1" thickBot="1">
      <c r="B25" s="226"/>
      <c r="C25" s="230">
        <v>1</v>
      </c>
      <c r="D25" s="447" t="s">
        <v>11</v>
      </c>
      <c r="E25" s="447" t="s">
        <v>1341</v>
      </c>
      <c r="F25" s="447" t="s">
        <v>1342</v>
      </c>
      <c r="G25" s="447" t="s">
        <v>1359</v>
      </c>
      <c r="H25" s="554" t="s">
        <v>1360</v>
      </c>
      <c r="I25" s="232">
        <v>1</v>
      </c>
      <c r="J25" s="19"/>
      <c r="K25" s="20"/>
    </row>
    <row r="26" spans="1:11" s="233" customFormat="1" ht="15.75" thickBot="1">
      <c r="B26" s="226"/>
      <c r="C26" s="230">
        <v>2</v>
      </c>
      <c r="D26" s="447" t="s">
        <v>11</v>
      </c>
      <c r="E26" s="447" t="s">
        <v>1343</v>
      </c>
      <c r="F26" s="447" t="s">
        <v>1344</v>
      </c>
      <c r="G26" s="447" t="s">
        <v>1355</v>
      </c>
      <c r="H26" s="554" t="s">
        <v>1356</v>
      </c>
      <c r="I26" s="232">
        <v>1</v>
      </c>
      <c r="J26" s="19"/>
      <c r="K26" s="20"/>
    </row>
    <row r="27" spans="1:11" s="233" customFormat="1" ht="15.75" thickBot="1">
      <c r="B27" s="226"/>
      <c r="C27" s="230">
        <v>3</v>
      </c>
      <c r="D27" s="447" t="s">
        <v>11</v>
      </c>
      <c r="E27" s="447" t="s">
        <v>1345</v>
      </c>
      <c r="F27" s="447" t="s">
        <v>1346</v>
      </c>
      <c r="G27" s="447" t="s">
        <v>1358</v>
      </c>
      <c r="H27" s="554" t="s">
        <v>1356</v>
      </c>
      <c r="I27" s="232">
        <v>1</v>
      </c>
      <c r="J27" s="19"/>
      <c r="K27" s="20"/>
    </row>
    <row r="28" spans="1:11" s="233" customFormat="1" ht="15.75" thickBot="1">
      <c r="B28" s="226"/>
      <c r="C28" s="230">
        <v>4</v>
      </c>
      <c r="D28" s="447" t="s">
        <v>11</v>
      </c>
      <c r="E28" s="447" t="s">
        <v>1347</v>
      </c>
      <c r="F28" s="447" t="s">
        <v>1354</v>
      </c>
      <c r="G28" s="190"/>
      <c r="H28" s="554" t="s">
        <v>1356</v>
      </c>
      <c r="I28" s="232">
        <v>1</v>
      </c>
      <c r="J28" s="19"/>
      <c r="K28" s="20"/>
    </row>
    <row r="29" spans="1:11" s="233" customFormat="1" ht="15.75" thickBot="1">
      <c r="B29" s="226"/>
      <c r="C29" s="230">
        <v>5</v>
      </c>
      <c r="D29" s="447" t="s">
        <v>11</v>
      </c>
      <c r="E29" s="447">
        <v>1605</v>
      </c>
      <c r="F29" s="447" t="s">
        <v>1348</v>
      </c>
      <c r="G29" s="190"/>
      <c r="H29" s="554" t="s">
        <v>1356</v>
      </c>
      <c r="I29" s="232">
        <v>1</v>
      </c>
      <c r="J29" s="19"/>
      <c r="K29" s="20"/>
    </row>
    <row r="30" spans="1:11" s="233" customFormat="1" ht="24.75" thickBot="1">
      <c r="B30" s="226"/>
      <c r="C30" s="230">
        <v>6</v>
      </c>
      <c r="D30" s="447" t="s">
        <v>11</v>
      </c>
      <c r="E30" s="447" t="s">
        <v>1349</v>
      </c>
      <c r="F30" s="447" t="s">
        <v>2125</v>
      </c>
      <c r="G30" s="190">
        <v>11536700</v>
      </c>
      <c r="H30" s="554" t="s">
        <v>1357</v>
      </c>
      <c r="I30" s="232">
        <v>1</v>
      </c>
      <c r="J30" s="19"/>
      <c r="K30" s="20"/>
    </row>
    <row r="31" spans="1:11" s="233" customFormat="1" ht="15.75" thickBot="1">
      <c r="B31" s="226"/>
      <c r="C31" s="230">
        <v>7</v>
      </c>
      <c r="D31" s="447" t="s">
        <v>11</v>
      </c>
      <c r="E31" s="447">
        <v>2907</v>
      </c>
      <c r="F31" s="447" t="s">
        <v>2126</v>
      </c>
      <c r="G31" s="447" t="s">
        <v>1355</v>
      </c>
      <c r="H31" s="554" t="s">
        <v>1357</v>
      </c>
      <c r="I31" s="232">
        <v>1</v>
      </c>
      <c r="J31" s="19"/>
      <c r="K31" s="20"/>
    </row>
    <row r="32" spans="1:11" s="233" customFormat="1" ht="15.75" thickBot="1">
      <c r="B32" s="226"/>
      <c r="C32" s="230">
        <v>8</v>
      </c>
      <c r="D32" s="447" t="s">
        <v>11</v>
      </c>
      <c r="E32" s="447" t="s">
        <v>1368</v>
      </c>
      <c r="F32" s="447" t="s">
        <v>1350</v>
      </c>
      <c r="G32" s="190">
        <v>63877</v>
      </c>
      <c r="H32" s="554" t="s">
        <v>1360</v>
      </c>
      <c r="I32" s="232">
        <v>1</v>
      </c>
      <c r="J32" s="19"/>
      <c r="K32" s="20"/>
    </row>
    <row r="33" spans="1:11" s="233" customFormat="1" ht="15.75" thickBot="1">
      <c r="B33" s="226"/>
      <c r="C33" s="230">
        <v>9</v>
      </c>
      <c r="D33" s="447" t="s">
        <v>11</v>
      </c>
      <c r="E33" s="447" t="s">
        <v>1369</v>
      </c>
      <c r="F33" s="447" t="s">
        <v>1351</v>
      </c>
      <c r="G33" s="190">
        <v>69870</v>
      </c>
      <c r="H33" s="554" t="s">
        <v>1360</v>
      </c>
      <c r="I33" s="232">
        <v>1</v>
      </c>
      <c r="J33" s="19"/>
      <c r="K33" s="20"/>
    </row>
    <row r="34" spans="1:11" s="233" customFormat="1" ht="15.75" thickBot="1">
      <c r="B34" s="226"/>
      <c r="C34" s="230">
        <v>10</v>
      </c>
      <c r="D34" s="447" t="s">
        <v>12</v>
      </c>
      <c r="E34" s="447">
        <v>0</v>
      </c>
      <c r="F34" s="447" t="s">
        <v>1370</v>
      </c>
      <c r="G34" s="190">
        <v>859300</v>
      </c>
      <c r="H34" s="554" t="s">
        <v>1356</v>
      </c>
      <c r="I34" s="232">
        <v>1</v>
      </c>
      <c r="J34" s="19"/>
      <c r="K34" s="20"/>
    </row>
    <row r="35" spans="1:11" s="233" customFormat="1" ht="15.75" thickBot="1">
      <c r="B35" s="226"/>
      <c r="C35" s="230">
        <v>11</v>
      </c>
      <c r="D35" s="447" t="s">
        <v>13</v>
      </c>
      <c r="E35" s="447">
        <v>0</v>
      </c>
      <c r="F35" s="447" t="s">
        <v>1352</v>
      </c>
      <c r="G35" s="190">
        <v>7705</v>
      </c>
      <c r="H35" s="554" t="s">
        <v>1356</v>
      </c>
      <c r="I35" s="232">
        <v>1</v>
      </c>
      <c r="J35" s="19"/>
      <c r="K35" s="20"/>
    </row>
    <row r="36" spans="1:11" s="233" customFormat="1" ht="15.75" thickBot="1">
      <c r="B36" s="226"/>
      <c r="C36" s="230">
        <v>12</v>
      </c>
      <c r="D36" s="447" t="s">
        <v>13</v>
      </c>
      <c r="E36" s="447">
        <v>0</v>
      </c>
      <c r="F36" s="447" t="s">
        <v>1353</v>
      </c>
      <c r="G36" s="190"/>
      <c r="H36" s="554" t="s">
        <v>1361</v>
      </c>
      <c r="I36" s="232">
        <v>1</v>
      </c>
      <c r="J36" s="19"/>
      <c r="K36" s="20"/>
    </row>
    <row r="37" spans="1:11" s="233" customFormat="1" ht="15.75" thickBot="1">
      <c r="B37" s="226"/>
      <c r="C37" s="230">
        <v>13</v>
      </c>
      <c r="D37" s="447" t="s">
        <v>13</v>
      </c>
      <c r="E37" s="447"/>
      <c r="F37" s="447" t="s">
        <v>1473</v>
      </c>
      <c r="G37" s="190"/>
      <c r="H37" s="554" t="s">
        <v>2156</v>
      </c>
      <c r="I37" s="232">
        <v>1</v>
      </c>
      <c r="J37" s="19"/>
      <c r="K37" s="20"/>
    </row>
    <row r="38" spans="1:11" ht="14.1" customHeight="1">
      <c r="A38" s="344"/>
      <c r="B38" s="360"/>
      <c r="C38" s="347"/>
      <c r="D38" s="1357" t="s">
        <v>14</v>
      </c>
      <c r="E38" s="1358"/>
      <c r="F38" s="1358"/>
      <c r="G38" s="1358"/>
      <c r="H38" s="1358"/>
      <c r="I38" s="1358"/>
      <c r="J38" s="1358"/>
      <c r="K38" s="1359"/>
    </row>
    <row r="39" spans="1:11" ht="14.1" customHeight="1">
      <c r="A39" s="344"/>
      <c r="B39" s="360"/>
      <c r="C39" s="347"/>
      <c r="D39" s="1360" t="s">
        <v>15</v>
      </c>
      <c r="E39" s="1361"/>
      <c r="F39" s="1361"/>
      <c r="G39" s="1361"/>
      <c r="H39" s="1361"/>
      <c r="I39" s="1361"/>
      <c r="J39" s="1361"/>
      <c r="K39" s="1362"/>
    </row>
    <row r="40" spans="1:11" ht="14.1" customHeight="1">
      <c r="A40" s="344"/>
      <c r="B40" s="360"/>
      <c r="C40" s="347"/>
      <c r="D40" s="1360" t="s">
        <v>16</v>
      </c>
      <c r="E40" s="1361"/>
      <c r="F40" s="1361"/>
      <c r="G40" s="1361"/>
      <c r="H40" s="1361"/>
      <c r="I40" s="1361"/>
      <c r="J40" s="1361"/>
      <c r="K40" s="1362"/>
    </row>
    <row r="41" spans="1:11" ht="14.1" customHeight="1">
      <c r="A41" s="344"/>
      <c r="B41" s="360"/>
      <c r="C41" s="347"/>
      <c r="D41" s="1360" t="s">
        <v>17</v>
      </c>
      <c r="E41" s="1361"/>
      <c r="F41" s="1361"/>
      <c r="G41" s="1361"/>
      <c r="H41" s="1361"/>
      <c r="I41" s="1361"/>
      <c r="J41" s="1361"/>
      <c r="K41" s="1362"/>
    </row>
    <row r="42" spans="1:11" ht="14.1" customHeight="1" thickBot="1">
      <c r="A42" s="344"/>
      <c r="B42" s="360"/>
      <c r="C42" s="347"/>
      <c r="D42" s="1348" t="s">
        <v>18</v>
      </c>
      <c r="E42" s="1349"/>
      <c r="F42" s="1349"/>
      <c r="G42" s="1349"/>
      <c r="H42" s="1349"/>
      <c r="I42" s="1349"/>
      <c r="J42" s="1349"/>
      <c r="K42" s="1350"/>
    </row>
    <row r="43" spans="1:11" ht="14.1" customHeight="1" thickBot="1">
      <c r="A43" s="344"/>
      <c r="B43" s="360"/>
      <c r="C43" s="268" t="s">
        <v>19</v>
      </c>
      <c r="D43" s="276" t="s">
        <v>8</v>
      </c>
      <c r="E43" s="276" t="s">
        <v>9</v>
      </c>
      <c r="F43" s="269" t="s">
        <v>10</v>
      </c>
      <c r="G43" s="305" t="s">
        <v>20</v>
      </c>
      <c r="H43" s="305" t="s">
        <v>21</v>
      </c>
      <c r="I43" s="305" t="s">
        <v>22</v>
      </c>
      <c r="J43" s="305" t="s">
        <v>23</v>
      </c>
      <c r="K43" s="270"/>
    </row>
    <row r="44" spans="1:11" s="233" customFormat="1" ht="14.1" customHeight="1" thickBot="1">
      <c r="B44" s="226"/>
      <c r="C44" s="230">
        <v>1</v>
      </c>
      <c r="D44" s="163" t="s">
        <v>11</v>
      </c>
      <c r="E44" s="163" t="s">
        <v>1474</v>
      </c>
      <c r="F44" s="163" t="s">
        <v>1362</v>
      </c>
      <c r="G44" s="160">
        <v>0</v>
      </c>
      <c r="H44" s="160">
        <v>0.25</v>
      </c>
      <c r="I44" s="160">
        <v>0.75</v>
      </c>
      <c r="J44" s="160">
        <v>1</v>
      </c>
      <c r="K44" s="112"/>
    </row>
    <row r="45" spans="1:11" s="233" customFormat="1" ht="14.1" customHeight="1" thickBot="1">
      <c r="B45" s="226"/>
      <c r="C45" s="230">
        <v>2</v>
      </c>
      <c r="D45" s="163" t="s">
        <v>13</v>
      </c>
      <c r="E45" s="163"/>
      <c r="F45" s="163" t="s">
        <v>1353</v>
      </c>
      <c r="G45" s="160">
        <v>0</v>
      </c>
      <c r="H45" s="160">
        <v>0.3</v>
      </c>
      <c r="I45" s="160">
        <v>0.4</v>
      </c>
      <c r="J45" s="160">
        <v>1</v>
      </c>
      <c r="K45" s="112"/>
    </row>
    <row r="46" spans="1:11" s="233" customFormat="1" ht="14.1" customHeight="1" thickBot="1">
      <c r="B46" s="226"/>
      <c r="C46" s="230">
        <v>3</v>
      </c>
      <c r="D46" s="163" t="s">
        <v>12</v>
      </c>
      <c r="E46" s="163"/>
      <c r="F46" s="1223" t="s">
        <v>1371</v>
      </c>
      <c r="G46" s="160">
        <v>0</v>
      </c>
      <c r="H46" s="160">
        <v>0</v>
      </c>
      <c r="I46" s="160">
        <v>0.6</v>
      </c>
      <c r="J46" s="160">
        <v>1</v>
      </c>
      <c r="K46" s="112"/>
    </row>
    <row r="47" spans="1:11" s="233" customFormat="1" ht="14.1" customHeight="1" thickBot="1">
      <c r="B47" s="226"/>
      <c r="C47" s="230">
        <v>4</v>
      </c>
      <c r="D47" s="163" t="s">
        <v>13</v>
      </c>
      <c r="E47" s="163"/>
      <c r="F47" s="163" t="s">
        <v>1473</v>
      </c>
      <c r="G47" s="160"/>
      <c r="H47" s="160">
        <v>0.3</v>
      </c>
      <c r="I47" s="160">
        <v>0.7</v>
      </c>
      <c r="J47" s="160">
        <v>1</v>
      </c>
      <c r="K47" s="112"/>
    </row>
    <row r="48" spans="1:11" s="233" customFormat="1" ht="14.1" hidden="1" customHeight="1" thickBot="1">
      <c r="B48" s="226"/>
      <c r="C48" s="230">
        <v>5</v>
      </c>
      <c r="D48" s="163"/>
      <c r="E48" s="163"/>
      <c r="F48" s="163"/>
      <c r="G48" s="160"/>
      <c r="H48" s="160"/>
      <c r="I48" s="160"/>
      <c r="J48" s="160"/>
      <c r="K48" s="112"/>
    </row>
    <row r="49" spans="1:11" s="233" customFormat="1" ht="14.1" hidden="1" customHeight="1" thickBot="1">
      <c r="B49" s="226"/>
      <c r="C49" s="230">
        <v>6</v>
      </c>
      <c r="D49" s="163"/>
      <c r="E49" s="163"/>
      <c r="F49" s="163"/>
      <c r="G49" s="160"/>
      <c r="H49" s="160"/>
      <c r="I49" s="160"/>
      <c r="J49" s="160"/>
      <c r="K49" s="112"/>
    </row>
    <row r="50" spans="1:11" s="233" customFormat="1" ht="14.1" hidden="1" customHeight="1" thickBot="1">
      <c r="B50" s="226"/>
      <c r="C50" s="230">
        <v>7</v>
      </c>
      <c r="D50" s="163"/>
      <c r="E50" s="163"/>
      <c r="F50" s="163"/>
      <c r="G50" s="160"/>
      <c r="H50" s="160"/>
      <c r="I50" s="160"/>
      <c r="J50" s="160"/>
      <c r="K50" s="112"/>
    </row>
    <row r="51" spans="1:11" s="233" customFormat="1" ht="14.1" hidden="1" customHeight="1" thickBot="1">
      <c r="B51" s="226"/>
      <c r="C51" s="230">
        <v>8</v>
      </c>
      <c r="D51" s="163"/>
      <c r="E51" s="163"/>
      <c r="F51" s="163"/>
      <c r="G51" s="160"/>
      <c r="H51" s="160"/>
      <c r="I51" s="160"/>
      <c r="J51" s="160"/>
      <c r="K51" s="112"/>
    </row>
    <row r="52" spans="1:11" s="233" customFormat="1" ht="14.1" hidden="1" customHeight="1" thickBot="1">
      <c r="B52" s="226"/>
      <c r="C52" s="230">
        <v>9</v>
      </c>
      <c r="D52" s="163"/>
      <c r="E52" s="163"/>
      <c r="F52" s="163"/>
      <c r="G52" s="160"/>
      <c r="H52" s="160"/>
      <c r="I52" s="160"/>
      <c r="J52" s="160"/>
      <c r="K52" s="112"/>
    </row>
    <row r="53" spans="1:11" s="233" customFormat="1" ht="14.1" hidden="1" customHeight="1" thickBot="1">
      <c r="B53" s="226"/>
      <c r="C53" s="230">
        <v>10</v>
      </c>
      <c r="D53" s="163"/>
      <c r="E53" s="163"/>
      <c r="F53" s="163"/>
      <c r="G53" s="160"/>
      <c r="H53" s="160"/>
      <c r="I53" s="160"/>
      <c r="J53" s="160"/>
      <c r="K53" s="112"/>
    </row>
    <row r="54" spans="1:11" s="233" customFormat="1" ht="14.1" hidden="1" customHeight="1" thickBot="1">
      <c r="B54" s="226"/>
      <c r="C54" s="230">
        <v>11</v>
      </c>
      <c r="D54" s="163"/>
      <c r="E54" s="163"/>
      <c r="F54" s="163"/>
      <c r="G54" s="160"/>
      <c r="H54" s="160"/>
      <c r="I54" s="160"/>
      <c r="J54" s="160"/>
      <c r="K54" s="112"/>
    </row>
    <row r="55" spans="1:11" s="233" customFormat="1" ht="14.1" hidden="1" customHeight="1" thickBot="1">
      <c r="B55" s="226"/>
      <c r="C55" s="230">
        <v>12</v>
      </c>
      <c r="D55" s="163"/>
      <c r="E55" s="163"/>
      <c r="F55" s="163"/>
      <c r="G55" s="160"/>
      <c r="H55" s="160"/>
      <c r="I55" s="160"/>
      <c r="J55" s="160"/>
      <c r="K55" s="112"/>
    </row>
    <row r="56" spans="1:11" s="233" customFormat="1" ht="14.1" hidden="1" customHeight="1" thickBot="1">
      <c r="B56" s="226"/>
      <c r="C56" s="230">
        <v>13</v>
      </c>
      <c r="D56" s="163"/>
      <c r="E56" s="163"/>
      <c r="F56" s="163"/>
      <c r="G56" s="160"/>
      <c r="H56" s="160"/>
      <c r="I56" s="160"/>
      <c r="J56" s="160"/>
      <c r="K56" s="112"/>
    </row>
    <row r="57" spans="1:11" s="233" customFormat="1" ht="14.1" hidden="1" customHeight="1" thickBot="1">
      <c r="B57" s="226"/>
      <c r="C57" s="230">
        <v>14</v>
      </c>
      <c r="D57" s="163"/>
      <c r="E57" s="163"/>
      <c r="F57" s="163"/>
      <c r="G57" s="160"/>
      <c r="H57" s="160"/>
      <c r="I57" s="160"/>
      <c r="J57" s="160"/>
      <c r="K57" s="113"/>
    </row>
    <row r="58" spans="1:11" ht="14.1" customHeight="1">
      <c r="A58" s="344"/>
      <c r="B58" s="360"/>
      <c r="C58" s="347"/>
      <c r="D58" s="1351" t="s">
        <v>24</v>
      </c>
      <c r="E58" s="1352"/>
      <c r="F58" s="1352"/>
      <c r="G58" s="1352"/>
      <c r="H58" s="1352"/>
      <c r="I58" s="1352"/>
      <c r="J58" s="1352"/>
      <c r="K58" s="1353"/>
    </row>
    <row r="59" spans="1:11" ht="14.1" customHeight="1" thickBot="1">
      <c r="A59" s="344"/>
      <c r="B59" s="360"/>
      <c r="C59" s="347"/>
      <c r="D59" s="1348" t="s">
        <v>25</v>
      </c>
      <c r="E59" s="1349"/>
      <c r="F59" s="1349"/>
      <c r="G59" s="1349"/>
      <c r="H59" s="1349"/>
      <c r="I59" s="1349"/>
      <c r="J59" s="1349"/>
      <c r="K59" s="1350"/>
    </row>
    <row r="60" spans="1:11" s="1053" customFormat="1" ht="15.75" thickBot="1">
      <c r="A60" s="1125"/>
      <c r="B60" s="1126"/>
      <c r="C60" s="1127" t="s">
        <v>19</v>
      </c>
      <c r="D60" s="1127" t="s">
        <v>8</v>
      </c>
      <c r="E60" s="1127" t="s">
        <v>26</v>
      </c>
      <c r="F60" s="1128" t="s">
        <v>10</v>
      </c>
      <c r="G60" s="1127" t="s">
        <v>20</v>
      </c>
      <c r="H60" s="1127" t="s">
        <v>21</v>
      </c>
      <c r="I60" s="1127" t="s">
        <v>22</v>
      </c>
      <c r="J60" s="1127" t="s">
        <v>23</v>
      </c>
      <c r="K60" s="1129"/>
    </row>
    <row r="61" spans="1:11" s="233" customFormat="1" ht="14.1" customHeight="1" thickBot="1">
      <c r="B61" s="226"/>
      <c r="C61" s="230">
        <v>1</v>
      </c>
      <c r="D61" s="234" t="str">
        <f t="shared" ref="D61:F63" si="0">IF(ISBLANK(D44),"",D44)</f>
        <v>POMCA</v>
      </c>
      <c r="E61" s="234" t="str">
        <f t="shared" si="0"/>
        <v>2802-02</v>
      </c>
      <c r="F61" s="234" t="str">
        <f t="shared" si="0"/>
        <v>Rio Medio Cesar</v>
      </c>
      <c r="G61" s="160">
        <v>0</v>
      </c>
      <c r="H61" s="160">
        <v>0.25</v>
      </c>
      <c r="I61" s="32">
        <v>0</v>
      </c>
      <c r="J61" s="32"/>
      <c r="K61" s="112"/>
    </row>
    <row r="62" spans="1:11" s="233" customFormat="1" ht="14.1" customHeight="1" thickBot="1">
      <c r="B62" s="226"/>
      <c r="C62" s="230">
        <v>2</v>
      </c>
      <c r="D62" s="234" t="str">
        <f t="shared" si="0"/>
        <v>PMM</v>
      </c>
      <c r="E62" s="234" t="str">
        <f t="shared" si="0"/>
        <v/>
      </c>
      <c r="F62" s="234" t="str">
        <f t="shared" si="0"/>
        <v>Tocaimo</v>
      </c>
      <c r="G62" s="160">
        <v>0</v>
      </c>
      <c r="H62" s="160">
        <v>0.3</v>
      </c>
      <c r="I62" s="32">
        <v>0</v>
      </c>
      <c r="J62" s="32"/>
      <c r="K62" s="112"/>
    </row>
    <row r="63" spans="1:11" s="233" customFormat="1" ht="14.1" customHeight="1" thickBot="1">
      <c r="B63" s="226"/>
      <c r="C63" s="230">
        <v>3</v>
      </c>
      <c r="D63" s="234" t="str">
        <f t="shared" si="0"/>
        <v>PMA</v>
      </c>
      <c r="E63" s="234" t="str">
        <f t="shared" si="0"/>
        <v/>
      </c>
      <c r="F63" s="234" t="str">
        <f t="shared" si="0"/>
        <v>Simití</v>
      </c>
      <c r="G63" s="160">
        <v>0</v>
      </c>
      <c r="H63" s="160">
        <v>0</v>
      </c>
      <c r="I63" s="32">
        <v>0</v>
      </c>
      <c r="J63" s="32"/>
      <c r="K63" s="112"/>
    </row>
    <row r="64" spans="1:11" s="233" customFormat="1" ht="14.1" customHeight="1" thickBot="1">
      <c r="B64" s="226"/>
      <c r="C64" s="230">
        <v>4</v>
      </c>
      <c r="D64" s="234" t="str">
        <f t="shared" ref="D64:D74" si="1">IF(ISBLANK(D47),"",D47)</f>
        <v>PMM</v>
      </c>
      <c r="E64" s="234" t="str">
        <f t="shared" ref="E64:F74" si="2">IF(ISBLANK(E47),"",E47)</f>
        <v/>
      </c>
      <c r="F64" s="234" t="str">
        <f t="shared" si="2"/>
        <v>Singararé</v>
      </c>
      <c r="G64" s="160"/>
      <c r="H64" s="160">
        <v>0.3</v>
      </c>
      <c r="I64" s="32">
        <v>1</v>
      </c>
      <c r="J64" s="32"/>
      <c r="K64" s="112"/>
    </row>
    <row r="65" spans="1:11" s="233" customFormat="1" ht="14.1" hidden="1" customHeight="1" thickBot="1">
      <c r="B65" s="226"/>
      <c r="C65" s="230">
        <v>5</v>
      </c>
      <c r="D65" s="234" t="str">
        <f t="shared" si="1"/>
        <v/>
      </c>
      <c r="E65" s="234" t="str">
        <f t="shared" si="2"/>
        <v/>
      </c>
      <c r="F65" s="234" t="str">
        <f t="shared" si="2"/>
        <v/>
      </c>
      <c r="G65" s="32"/>
      <c r="H65" s="32"/>
      <c r="I65" s="32"/>
      <c r="J65" s="32"/>
      <c r="K65" s="112"/>
    </row>
    <row r="66" spans="1:11" s="233" customFormat="1" ht="14.1" hidden="1" customHeight="1" thickBot="1">
      <c r="B66" s="226"/>
      <c r="C66" s="230">
        <v>6</v>
      </c>
      <c r="D66" s="234" t="str">
        <f t="shared" si="1"/>
        <v/>
      </c>
      <c r="E66" s="234" t="str">
        <f t="shared" si="2"/>
        <v/>
      </c>
      <c r="F66" s="234" t="str">
        <f t="shared" si="2"/>
        <v/>
      </c>
      <c r="G66" s="32"/>
      <c r="H66" s="32"/>
      <c r="I66" s="32"/>
      <c r="J66" s="32"/>
      <c r="K66" s="112"/>
    </row>
    <row r="67" spans="1:11" s="233" customFormat="1" ht="14.1" hidden="1" customHeight="1" thickBot="1">
      <c r="B67" s="226"/>
      <c r="C67" s="230">
        <v>7</v>
      </c>
      <c r="D67" s="234" t="str">
        <f t="shared" si="1"/>
        <v/>
      </c>
      <c r="E67" s="234" t="str">
        <f t="shared" si="2"/>
        <v/>
      </c>
      <c r="F67" s="234" t="str">
        <f t="shared" si="2"/>
        <v/>
      </c>
      <c r="G67" s="32"/>
      <c r="H67" s="32"/>
      <c r="I67" s="32"/>
      <c r="J67" s="32"/>
      <c r="K67" s="112"/>
    </row>
    <row r="68" spans="1:11" s="233" customFormat="1" ht="14.1" hidden="1" customHeight="1" thickBot="1">
      <c r="B68" s="226"/>
      <c r="C68" s="230">
        <v>8</v>
      </c>
      <c r="D68" s="234" t="str">
        <f t="shared" si="1"/>
        <v/>
      </c>
      <c r="E68" s="234" t="str">
        <f t="shared" si="2"/>
        <v/>
      </c>
      <c r="F68" s="234" t="str">
        <f t="shared" si="2"/>
        <v/>
      </c>
      <c r="G68" s="32"/>
      <c r="H68" s="32"/>
      <c r="I68" s="32"/>
      <c r="J68" s="32"/>
      <c r="K68" s="112"/>
    </row>
    <row r="69" spans="1:11" s="233" customFormat="1" ht="14.1" hidden="1" customHeight="1" thickBot="1">
      <c r="B69" s="226"/>
      <c r="C69" s="230">
        <v>9</v>
      </c>
      <c r="D69" s="234" t="str">
        <f t="shared" si="1"/>
        <v/>
      </c>
      <c r="E69" s="234" t="str">
        <f t="shared" si="2"/>
        <v/>
      </c>
      <c r="F69" s="234" t="str">
        <f t="shared" si="2"/>
        <v/>
      </c>
      <c r="G69" s="32"/>
      <c r="H69" s="32"/>
      <c r="I69" s="32"/>
      <c r="J69" s="32"/>
      <c r="K69" s="112"/>
    </row>
    <row r="70" spans="1:11" s="233" customFormat="1" ht="14.1" hidden="1" customHeight="1" thickBot="1">
      <c r="B70" s="226"/>
      <c r="C70" s="230">
        <v>10</v>
      </c>
      <c r="D70" s="234" t="str">
        <f t="shared" si="1"/>
        <v/>
      </c>
      <c r="E70" s="234" t="str">
        <f t="shared" si="2"/>
        <v/>
      </c>
      <c r="F70" s="234" t="str">
        <f t="shared" si="2"/>
        <v/>
      </c>
      <c r="G70" s="32"/>
      <c r="H70" s="32"/>
      <c r="I70" s="32"/>
      <c r="J70" s="32"/>
      <c r="K70" s="112"/>
    </row>
    <row r="71" spans="1:11" s="233" customFormat="1" ht="14.1" hidden="1" customHeight="1" thickBot="1">
      <c r="B71" s="226"/>
      <c r="C71" s="230">
        <v>11</v>
      </c>
      <c r="D71" s="234" t="str">
        <f t="shared" si="1"/>
        <v/>
      </c>
      <c r="E71" s="234" t="str">
        <f t="shared" si="2"/>
        <v/>
      </c>
      <c r="F71" s="234" t="str">
        <f t="shared" si="2"/>
        <v/>
      </c>
      <c r="G71" s="32"/>
      <c r="H71" s="32"/>
      <c r="I71" s="32"/>
      <c r="J71" s="32"/>
      <c r="K71" s="112"/>
    </row>
    <row r="72" spans="1:11" s="233" customFormat="1" ht="14.1" hidden="1" customHeight="1" thickBot="1">
      <c r="B72" s="226"/>
      <c r="C72" s="230">
        <v>12</v>
      </c>
      <c r="D72" s="234" t="str">
        <f t="shared" si="1"/>
        <v/>
      </c>
      <c r="E72" s="234" t="str">
        <f t="shared" si="2"/>
        <v/>
      </c>
      <c r="F72" s="234" t="str">
        <f t="shared" si="2"/>
        <v/>
      </c>
      <c r="G72" s="32"/>
      <c r="H72" s="32"/>
      <c r="I72" s="32"/>
      <c r="J72" s="32"/>
      <c r="K72" s="112"/>
    </row>
    <row r="73" spans="1:11" s="233" customFormat="1" ht="14.1" hidden="1" customHeight="1" thickBot="1">
      <c r="B73" s="226"/>
      <c r="C73" s="230">
        <v>13</v>
      </c>
      <c r="D73" s="234" t="str">
        <f t="shared" si="1"/>
        <v/>
      </c>
      <c r="E73" s="234" t="str">
        <f t="shared" si="2"/>
        <v/>
      </c>
      <c r="F73" s="234" t="str">
        <f t="shared" si="2"/>
        <v/>
      </c>
      <c r="G73" s="32"/>
      <c r="H73" s="32"/>
      <c r="I73" s="32"/>
      <c r="J73" s="32"/>
      <c r="K73" s="112"/>
    </row>
    <row r="74" spans="1:11" s="233" customFormat="1" ht="14.1" hidden="1" customHeight="1" thickBot="1">
      <c r="B74" s="226"/>
      <c r="C74" s="230">
        <v>14</v>
      </c>
      <c r="D74" s="234" t="str">
        <f t="shared" si="1"/>
        <v/>
      </c>
      <c r="E74" s="234" t="str">
        <f t="shared" si="2"/>
        <v/>
      </c>
      <c r="F74" s="234" t="str">
        <f t="shared" si="2"/>
        <v/>
      </c>
      <c r="G74" s="32"/>
      <c r="H74" s="32"/>
      <c r="I74" s="32"/>
      <c r="J74" s="32"/>
      <c r="K74" s="112"/>
    </row>
    <row r="75" spans="1:11" ht="14.1" customHeight="1">
      <c r="A75" s="344"/>
      <c r="B75" s="360"/>
      <c r="C75" s="347"/>
      <c r="D75" s="1351" t="s">
        <v>14</v>
      </c>
      <c r="E75" s="1352"/>
      <c r="F75" s="1352"/>
      <c r="G75" s="1352"/>
      <c r="H75" s="1352"/>
      <c r="I75" s="1352"/>
      <c r="J75" s="1352"/>
      <c r="K75" s="1353"/>
    </row>
    <row r="76" spans="1:11" ht="14.1" customHeight="1">
      <c r="A76" s="344"/>
      <c r="B76" s="360"/>
      <c r="C76" s="347"/>
      <c r="D76" s="1357" t="s">
        <v>27</v>
      </c>
      <c r="E76" s="1358"/>
      <c r="F76" s="1358"/>
      <c r="G76" s="1358"/>
      <c r="H76" s="1358"/>
      <c r="I76" s="1358"/>
      <c r="J76" s="1358"/>
      <c r="K76" s="1359"/>
    </row>
    <row r="77" spans="1:11" ht="14.1" customHeight="1" thickBot="1">
      <c r="A77" s="344"/>
      <c r="B77" s="360"/>
      <c r="C77" s="347"/>
      <c r="D77" s="1348" t="s">
        <v>28</v>
      </c>
      <c r="E77" s="1349"/>
      <c r="F77" s="1349"/>
      <c r="G77" s="1349"/>
      <c r="H77" s="1349"/>
      <c r="I77" s="1349"/>
      <c r="J77" s="1349"/>
      <c r="K77" s="1350"/>
    </row>
    <row r="78" spans="1:11" ht="14.1" customHeight="1" thickBot="1">
      <c r="A78" s="344"/>
      <c r="B78" s="360"/>
      <c r="C78" s="349" t="s">
        <v>19</v>
      </c>
      <c r="D78" s="320" t="s">
        <v>8</v>
      </c>
      <c r="E78" s="320" t="s">
        <v>26</v>
      </c>
      <c r="F78" s="350" t="s">
        <v>10</v>
      </c>
      <c r="G78" s="350" t="s">
        <v>20</v>
      </c>
      <c r="H78" s="350" t="s">
        <v>21</v>
      </c>
      <c r="I78" s="350" t="s">
        <v>22</v>
      </c>
      <c r="J78" s="350" t="s">
        <v>23</v>
      </c>
      <c r="K78" s="270"/>
    </row>
    <row r="79" spans="1:11" ht="14.1" customHeight="1" thickBot="1">
      <c r="A79" s="344"/>
      <c r="B79" s="360"/>
      <c r="C79" s="332">
        <v>1</v>
      </c>
      <c r="D79" s="351" t="str">
        <f t="shared" ref="D79:F92" si="3">IF(ISBLANK(D61),"",D61)</f>
        <v>POMCA</v>
      </c>
      <c r="E79" s="351" t="str">
        <f t="shared" si="3"/>
        <v>2802-02</v>
      </c>
      <c r="F79" s="351" t="str">
        <f t="shared" si="3"/>
        <v>Rio Medio Cesar</v>
      </c>
      <c r="G79" s="518" t="str">
        <f t="shared" ref="G79:J81" si="4">IFERROR(G61/G44,"N.A.")</f>
        <v>N.A.</v>
      </c>
      <c r="H79" s="352">
        <f t="shared" si="4"/>
        <v>1</v>
      </c>
      <c r="I79" s="352">
        <f t="shared" si="4"/>
        <v>0</v>
      </c>
      <c r="J79" s="352">
        <f t="shared" si="4"/>
        <v>0</v>
      </c>
      <c r="K79" s="348"/>
    </row>
    <row r="80" spans="1:11" ht="14.1" customHeight="1" thickBot="1">
      <c r="A80" s="344"/>
      <c r="B80" s="360"/>
      <c r="C80" s="332">
        <v>2</v>
      </c>
      <c r="D80" s="351" t="str">
        <f t="shared" si="3"/>
        <v>PMM</v>
      </c>
      <c r="E80" s="351" t="str">
        <f t="shared" si="3"/>
        <v/>
      </c>
      <c r="F80" s="351" t="str">
        <f t="shared" si="3"/>
        <v>Tocaimo</v>
      </c>
      <c r="G80" s="518" t="str">
        <f t="shared" si="4"/>
        <v>N.A.</v>
      </c>
      <c r="H80" s="352">
        <f t="shared" si="4"/>
        <v>1</v>
      </c>
      <c r="I80" s="352">
        <f t="shared" si="4"/>
        <v>0</v>
      </c>
      <c r="J80" s="352">
        <f t="shared" si="4"/>
        <v>0</v>
      </c>
      <c r="K80" s="348"/>
    </row>
    <row r="81" spans="1:11" ht="14.1" customHeight="1" thickBot="1">
      <c r="A81" s="344"/>
      <c r="B81" s="360"/>
      <c r="C81" s="332">
        <v>3</v>
      </c>
      <c r="D81" s="351" t="str">
        <f t="shared" si="3"/>
        <v>PMA</v>
      </c>
      <c r="E81" s="351" t="str">
        <f t="shared" si="3"/>
        <v/>
      </c>
      <c r="F81" s="351" t="str">
        <f t="shared" si="3"/>
        <v>Simití</v>
      </c>
      <c r="G81" s="352" t="str">
        <f t="shared" si="4"/>
        <v>N.A.</v>
      </c>
      <c r="H81" s="352" t="str">
        <f t="shared" si="4"/>
        <v>N.A.</v>
      </c>
      <c r="I81" s="352">
        <f t="shared" si="4"/>
        <v>0</v>
      </c>
      <c r="J81" s="352">
        <f t="shared" si="4"/>
        <v>0</v>
      </c>
      <c r="K81" s="348"/>
    </row>
    <row r="82" spans="1:11" ht="14.1" customHeight="1" thickBot="1">
      <c r="A82" s="344"/>
      <c r="B82" s="360"/>
      <c r="C82" s="332">
        <v>4</v>
      </c>
      <c r="D82" s="351" t="str">
        <f t="shared" si="3"/>
        <v>PMM</v>
      </c>
      <c r="E82" s="351" t="str">
        <f t="shared" si="3"/>
        <v/>
      </c>
      <c r="F82" s="351" t="str">
        <f t="shared" si="3"/>
        <v>Singararé</v>
      </c>
      <c r="G82" s="352" t="str">
        <f t="shared" ref="G82:J82" si="5">IFERROR(G64/G47,"N.A.")</f>
        <v>N.A.</v>
      </c>
      <c r="H82" s="352">
        <f t="shared" si="5"/>
        <v>1</v>
      </c>
      <c r="I82" s="352">
        <f t="shared" si="5"/>
        <v>1.4285714285714286</v>
      </c>
      <c r="J82" s="352">
        <f t="shared" si="5"/>
        <v>0</v>
      </c>
      <c r="K82" s="348"/>
    </row>
    <row r="83" spans="1:11" ht="14.1" hidden="1" customHeight="1" thickBot="1">
      <c r="A83" s="344"/>
      <c r="B83" s="360"/>
      <c r="C83" s="332">
        <v>5</v>
      </c>
      <c r="D83" s="351" t="str">
        <f t="shared" si="3"/>
        <v/>
      </c>
      <c r="E83" s="351" t="str">
        <f t="shared" si="3"/>
        <v/>
      </c>
      <c r="F83" s="351" t="str">
        <f t="shared" si="3"/>
        <v/>
      </c>
      <c r="G83" s="352"/>
      <c r="H83" s="352"/>
      <c r="I83" s="352"/>
      <c r="J83" s="352"/>
      <c r="K83" s="348"/>
    </row>
    <row r="84" spans="1:11" ht="14.1" hidden="1" customHeight="1" thickBot="1">
      <c r="A84" s="344"/>
      <c r="B84" s="360"/>
      <c r="C84" s="332">
        <v>6</v>
      </c>
      <c r="D84" s="351" t="str">
        <f t="shared" si="3"/>
        <v/>
      </c>
      <c r="E84" s="351" t="str">
        <f t="shared" si="3"/>
        <v/>
      </c>
      <c r="F84" s="351" t="str">
        <f t="shared" si="3"/>
        <v/>
      </c>
      <c r="G84" s="352"/>
      <c r="H84" s="352"/>
      <c r="I84" s="352"/>
      <c r="J84" s="352"/>
      <c r="K84" s="273"/>
    </row>
    <row r="85" spans="1:11" ht="14.1" hidden="1" customHeight="1" thickBot="1">
      <c r="A85" s="344"/>
      <c r="B85" s="360"/>
      <c r="C85" s="332">
        <v>7</v>
      </c>
      <c r="D85" s="351" t="str">
        <f t="shared" si="3"/>
        <v/>
      </c>
      <c r="E85" s="351" t="str">
        <f t="shared" si="3"/>
        <v/>
      </c>
      <c r="F85" s="351" t="str">
        <f t="shared" si="3"/>
        <v/>
      </c>
      <c r="G85" s="352"/>
      <c r="H85" s="352"/>
      <c r="I85" s="352"/>
      <c r="J85" s="352"/>
      <c r="K85" s="348"/>
    </row>
    <row r="86" spans="1:11" ht="14.1" hidden="1" customHeight="1" thickBot="1">
      <c r="A86" s="344"/>
      <c r="B86" s="360"/>
      <c r="C86" s="332">
        <v>8</v>
      </c>
      <c r="D86" s="351" t="str">
        <f t="shared" si="3"/>
        <v/>
      </c>
      <c r="E86" s="351" t="str">
        <f t="shared" si="3"/>
        <v/>
      </c>
      <c r="F86" s="351" t="str">
        <f t="shared" si="3"/>
        <v/>
      </c>
      <c r="G86" s="352"/>
      <c r="H86" s="352"/>
      <c r="I86" s="352"/>
      <c r="J86" s="352"/>
      <c r="K86" s="348"/>
    </row>
    <row r="87" spans="1:11" ht="14.1" hidden="1" customHeight="1" thickBot="1">
      <c r="A87" s="344"/>
      <c r="B87" s="360"/>
      <c r="C87" s="332">
        <v>9</v>
      </c>
      <c r="D87" s="351" t="str">
        <f t="shared" si="3"/>
        <v/>
      </c>
      <c r="E87" s="351" t="str">
        <f t="shared" si="3"/>
        <v/>
      </c>
      <c r="F87" s="351" t="str">
        <f t="shared" si="3"/>
        <v/>
      </c>
      <c r="G87" s="352"/>
      <c r="H87" s="352"/>
      <c r="I87" s="352"/>
      <c r="J87" s="352"/>
      <c r="K87" s="348"/>
    </row>
    <row r="88" spans="1:11" ht="14.1" hidden="1" customHeight="1" thickBot="1">
      <c r="A88" s="344"/>
      <c r="B88" s="360"/>
      <c r="C88" s="332">
        <v>10</v>
      </c>
      <c r="D88" s="351" t="str">
        <f t="shared" si="3"/>
        <v/>
      </c>
      <c r="E88" s="351" t="str">
        <f t="shared" si="3"/>
        <v/>
      </c>
      <c r="F88" s="351" t="str">
        <f t="shared" si="3"/>
        <v/>
      </c>
      <c r="G88" s="352"/>
      <c r="H88" s="352"/>
      <c r="I88" s="352"/>
      <c r="J88" s="352"/>
      <c r="K88" s="273"/>
    </row>
    <row r="89" spans="1:11" ht="14.1" hidden="1" customHeight="1" thickBot="1">
      <c r="A89" s="344"/>
      <c r="B89" s="360"/>
      <c r="C89" s="332">
        <v>11</v>
      </c>
      <c r="D89" s="351" t="str">
        <f t="shared" si="3"/>
        <v/>
      </c>
      <c r="E89" s="351" t="str">
        <f t="shared" si="3"/>
        <v/>
      </c>
      <c r="F89" s="351" t="str">
        <f t="shared" si="3"/>
        <v/>
      </c>
      <c r="G89" s="352"/>
      <c r="H89" s="352"/>
      <c r="I89" s="352"/>
      <c r="J89" s="352"/>
      <c r="K89" s="348"/>
    </row>
    <row r="90" spans="1:11" ht="14.1" hidden="1" customHeight="1" thickBot="1">
      <c r="A90" s="344"/>
      <c r="B90" s="360"/>
      <c r="C90" s="332">
        <v>12</v>
      </c>
      <c r="D90" s="351" t="str">
        <f t="shared" si="3"/>
        <v/>
      </c>
      <c r="E90" s="351" t="str">
        <f t="shared" si="3"/>
        <v/>
      </c>
      <c r="F90" s="351" t="str">
        <f t="shared" si="3"/>
        <v/>
      </c>
      <c r="G90" s="352"/>
      <c r="H90" s="352"/>
      <c r="I90" s="352"/>
      <c r="J90" s="352"/>
      <c r="K90" s="348"/>
    </row>
    <row r="91" spans="1:11" ht="14.1" hidden="1" customHeight="1" thickBot="1">
      <c r="A91" s="344"/>
      <c r="B91" s="360"/>
      <c r="C91" s="332">
        <v>13</v>
      </c>
      <c r="D91" s="351" t="str">
        <f t="shared" si="3"/>
        <v/>
      </c>
      <c r="E91" s="351" t="str">
        <f t="shared" si="3"/>
        <v/>
      </c>
      <c r="F91" s="351" t="str">
        <f t="shared" si="3"/>
        <v/>
      </c>
      <c r="G91" s="352"/>
      <c r="H91" s="352"/>
      <c r="I91" s="352"/>
      <c r="J91" s="352"/>
      <c r="K91" s="348"/>
    </row>
    <row r="92" spans="1:11" ht="14.1" hidden="1" customHeight="1" thickBot="1">
      <c r="A92" s="344"/>
      <c r="B92" s="360"/>
      <c r="C92" s="332">
        <v>14</v>
      </c>
      <c r="D92" s="351" t="str">
        <f t="shared" si="3"/>
        <v/>
      </c>
      <c r="E92" s="351" t="str">
        <f t="shared" si="3"/>
        <v/>
      </c>
      <c r="F92" s="351" t="str">
        <f t="shared" si="3"/>
        <v/>
      </c>
      <c r="G92" s="352"/>
      <c r="H92" s="352"/>
      <c r="I92" s="352"/>
      <c r="J92" s="352"/>
      <c r="K92" s="273"/>
    </row>
    <row r="93" spans="1:11" ht="14.1" customHeight="1">
      <c r="A93" s="344"/>
      <c r="B93" s="360"/>
      <c r="C93" s="347"/>
      <c r="D93" s="1363"/>
      <c r="E93" s="1364"/>
      <c r="F93" s="1364"/>
      <c r="G93" s="1364"/>
      <c r="H93" s="1364"/>
      <c r="I93" s="1364"/>
      <c r="J93" s="1364"/>
      <c r="K93" s="1365"/>
    </row>
    <row r="94" spans="1:11" ht="14.1" customHeight="1" thickBot="1">
      <c r="A94" s="344"/>
      <c r="B94" s="360"/>
      <c r="C94" s="347"/>
      <c r="D94" s="1348" t="s">
        <v>29</v>
      </c>
      <c r="E94" s="1349"/>
      <c r="F94" s="1349"/>
      <c r="G94" s="1349"/>
      <c r="H94" s="1349"/>
      <c r="I94" s="1349"/>
      <c r="J94" s="1349"/>
      <c r="K94" s="1350"/>
    </row>
    <row r="95" spans="1:11" ht="14.1" customHeight="1" thickBot="1">
      <c r="A95" s="344"/>
      <c r="B95" s="360"/>
      <c r="C95" s="353" t="s">
        <v>19</v>
      </c>
      <c r="D95" s="350" t="s">
        <v>30</v>
      </c>
      <c r="E95" s="350" t="s">
        <v>31</v>
      </c>
      <c r="F95" s="354"/>
      <c r="G95" s="350" t="s">
        <v>20</v>
      </c>
      <c r="H95" s="350" t="s">
        <v>21</v>
      </c>
      <c r="I95" s="350" t="s">
        <v>22</v>
      </c>
      <c r="J95" s="350" t="s">
        <v>23</v>
      </c>
      <c r="K95" s="270"/>
    </row>
    <row r="96" spans="1:11" ht="14.1" customHeight="1" thickBot="1">
      <c r="A96" s="344"/>
      <c r="B96" s="360"/>
      <c r="C96" s="342">
        <v>1</v>
      </c>
      <c r="D96" s="279" t="s">
        <v>32</v>
      </c>
      <c r="E96" s="32">
        <v>0.6</v>
      </c>
      <c r="F96" s="33"/>
      <c r="G96" s="519">
        <f ca="1">IFERROR(AVERAGEIF($D$79:$J$92,"POMCA",G$79:G$92),0)</f>
        <v>0</v>
      </c>
      <c r="H96" s="355">
        <f ca="1">IFERROR(AVERAGEIF($D$79:$J$92,"POMCA",H$79:H$92),0)</f>
        <v>1</v>
      </c>
      <c r="I96" s="355">
        <f ca="1">IFERROR(AVERAGEIF($D$79:$J$92,"POMCA",I$79:I$92),0)</f>
        <v>0</v>
      </c>
      <c r="J96" s="355">
        <f ca="1">IFERROR(AVERAGEIF($D$79:$J$92,"POMCA",J$79:J$92),0)</f>
        <v>0</v>
      </c>
      <c r="K96" s="112"/>
    </row>
    <row r="97" spans="1:11" ht="14.1" customHeight="1" thickBot="1">
      <c r="A97" s="344"/>
      <c r="B97" s="360"/>
      <c r="C97" s="342">
        <v>2</v>
      </c>
      <c r="D97" s="279" t="s">
        <v>12</v>
      </c>
      <c r="E97" s="32">
        <v>0.2</v>
      </c>
      <c r="F97" s="33"/>
      <c r="G97" s="355">
        <f ca="1">IFERROR(AVERAGEIF($D$79:$J$92,"PMA",G$79:G$92),0)</f>
        <v>0</v>
      </c>
      <c r="H97" s="355">
        <f ca="1">IFERROR(AVERAGEIF($D$79:$J$92,"PMA",H$79:H$92),0)</f>
        <v>0</v>
      </c>
      <c r="I97" s="355">
        <f ca="1">IFERROR(AVERAGEIF($D$79:$J$92,"PMA",I$79:I$92),0)</f>
        <v>0</v>
      </c>
      <c r="J97" s="355">
        <f ca="1">IFERROR(AVERAGEIF($D$79:$J$92,"PMA",J$79:J$92),0)</f>
        <v>0</v>
      </c>
      <c r="K97" s="112"/>
    </row>
    <row r="98" spans="1:11" ht="14.1" customHeight="1" thickBot="1">
      <c r="A98" s="344"/>
      <c r="B98" s="360"/>
      <c r="C98" s="342">
        <v>3</v>
      </c>
      <c r="D98" s="279" t="s">
        <v>13</v>
      </c>
      <c r="E98" s="32">
        <v>0.2</v>
      </c>
      <c r="F98" s="33"/>
      <c r="G98" s="355">
        <f ca="1">IFERROR(AVERAGEIF($D$79:$J$92,"PMM",G$79:G$92),0)</f>
        <v>0</v>
      </c>
      <c r="H98" s="355">
        <f ca="1">IFERROR(AVERAGEIF($D$79:$J$92,"PMM",H$79:H$92),0)</f>
        <v>1</v>
      </c>
      <c r="I98" s="355">
        <f ca="1">IFERROR(AVERAGEIF($D$79:$J$92,"PMM",I$79:I$92),0)</f>
        <v>0.7142857142857143</v>
      </c>
      <c r="J98" s="355">
        <f ca="1">IFERROR(AVERAGEIF($D$79:$J$92,"PMM",J$79:J$92),0)</f>
        <v>0</v>
      </c>
      <c r="K98" s="112"/>
    </row>
    <row r="99" spans="1:11" ht="14.1" customHeight="1" thickBot="1">
      <c r="A99" s="344"/>
      <c r="B99" s="360"/>
      <c r="C99" s="254"/>
      <c r="D99" s="1373">
        <f>Formulas!$D$5</f>
        <v>1</v>
      </c>
      <c r="E99" s="1374"/>
      <c r="F99" s="488" t="s">
        <v>1241</v>
      </c>
      <c r="G99" s="520" t="str">
        <f ca="1">Formulas!E5</f>
        <v>N.A.</v>
      </c>
      <c r="H99" s="198">
        <f ca="1">Formulas!F5</f>
        <v>0.8</v>
      </c>
      <c r="I99" s="198">
        <f ca="1">Formulas!G5</f>
        <v>0.14285714285714288</v>
      </c>
      <c r="J99" s="198" t="str">
        <f ca="1">Formulas!H5</f>
        <v>N.A.</v>
      </c>
      <c r="K99" s="113"/>
    </row>
    <row r="100" spans="1:11" ht="14.1" customHeight="1">
      <c r="A100" s="344"/>
      <c r="B100" s="360"/>
      <c r="C100" s="347"/>
      <c r="D100" s="1375"/>
      <c r="E100" s="1376"/>
      <c r="F100" s="1376"/>
      <c r="G100" s="1376"/>
      <c r="H100" s="1376"/>
      <c r="I100" s="1376"/>
      <c r="J100" s="1376"/>
      <c r="K100" s="1377"/>
    </row>
    <row r="101" spans="1:11" ht="14.1" customHeight="1">
      <c r="A101" s="344"/>
      <c r="B101" s="360"/>
      <c r="C101" s="347"/>
      <c r="D101" s="1357" t="s">
        <v>33</v>
      </c>
      <c r="E101" s="1358"/>
      <c r="F101" s="1358"/>
      <c r="G101" s="1358"/>
      <c r="H101" s="1358"/>
      <c r="I101" s="1358"/>
      <c r="J101" s="1358"/>
      <c r="K101" s="1359"/>
    </row>
    <row r="102" spans="1:11" ht="14.1" customHeight="1" thickBot="1">
      <c r="A102" s="344"/>
      <c r="B102" s="340"/>
      <c r="C102" s="341"/>
      <c r="D102" s="317"/>
      <c r="E102" s="266"/>
      <c r="F102" s="266"/>
      <c r="G102" s="266"/>
      <c r="H102" s="266"/>
      <c r="I102" s="266"/>
      <c r="J102" s="266"/>
      <c r="K102" s="267"/>
    </row>
    <row r="103" spans="1:11" ht="14.1" customHeight="1" thickBot="1">
      <c r="A103" s="344"/>
      <c r="B103" s="340" t="s">
        <v>34</v>
      </c>
      <c r="C103" s="341"/>
      <c r="D103" s="1378" t="s">
        <v>35</v>
      </c>
      <c r="E103" s="1379"/>
      <c r="F103" s="1379"/>
      <c r="G103" s="1379"/>
      <c r="H103" s="1379"/>
      <c r="I103" s="1379"/>
      <c r="J103" s="1379"/>
      <c r="K103" s="1380"/>
    </row>
    <row r="104" spans="1:11" ht="39" customHeight="1" thickBot="1">
      <c r="A104" s="344"/>
      <c r="B104" s="340" t="s">
        <v>36</v>
      </c>
      <c r="C104" s="341"/>
      <c r="D104" s="1378" t="s">
        <v>37</v>
      </c>
      <c r="E104" s="1379"/>
      <c r="F104" s="1379"/>
      <c r="G104" s="1379"/>
      <c r="H104" s="1379"/>
      <c r="I104" s="1379"/>
      <c r="J104" s="1379"/>
      <c r="K104" s="1380"/>
    </row>
    <row r="105" spans="1:11" ht="15.75" thickBot="1">
      <c r="A105" s="344"/>
      <c r="B105" s="239"/>
      <c r="C105" s="240"/>
      <c r="D105" s="238"/>
      <c r="E105" s="238"/>
      <c r="F105" s="238"/>
      <c r="G105" s="238"/>
      <c r="H105" s="238"/>
      <c r="I105" s="238"/>
      <c r="J105" s="238"/>
      <c r="K105" s="238"/>
    </row>
    <row r="106" spans="1:11" ht="24" customHeight="1" thickBot="1">
      <c r="A106" s="344"/>
      <c r="B106" s="1366" t="s">
        <v>38</v>
      </c>
      <c r="C106" s="1367"/>
      <c r="D106" s="1367"/>
      <c r="E106" s="1368"/>
      <c r="F106" s="238"/>
      <c r="G106" s="238"/>
      <c r="H106" s="238"/>
      <c r="I106" s="238"/>
      <c r="J106" s="238"/>
      <c r="K106" s="238"/>
    </row>
    <row r="107" spans="1:11" ht="15.75" thickBot="1">
      <c r="A107" s="344"/>
      <c r="B107" s="1369">
        <v>1</v>
      </c>
      <c r="C107" s="261"/>
      <c r="D107" s="278" t="s">
        <v>39</v>
      </c>
      <c r="E107" s="447"/>
      <c r="F107" s="238"/>
      <c r="G107" s="238"/>
      <c r="H107" s="238"/>
      <c r="I107" s="238"/>
      <c r="J107" s="238"/>
      <c r="K107" s="238"/>
    </row>
    <row r="108" spans="1:11" ht="36.75" thickBot="1">
      <c r="A108" s="344"/>
      <c r="B108" s="1370"/>
      <c r="C108" s="261"/>
      <c r="D108" s="267" t="s">
        <v>40</v>
      </c>
      <c r="E108" s="447" t="s">
        <v>1363</v>
      </c>
      <c r="F108" s="238"/>
      <c r="G108" s="238"/>
      <c r="H108" s="238"/>
      <c r="I108" s="238"/>
      <c r="J108" s="238"/>
      <c r="K108" s="238"/>
    </row>
    <row r="109" spans="1:11" ht="24.75" thickBot="1">
      <c r="A109" s="344"/>
      <c r="B109" s="1370"/>
      <c r="C109" s="261"/>
      <c r="D109" s="267" t="s">
        <v>41</v>
      </c>
      <c r="E109" s="447" t="s">
        <v>1364</v>
      </c>
      <c r="F109" s="238"/>
      <c r="G109" s="238"/>
      <c r="H109" s="238"/>
      <c r="I109" s="238"/>
      <c r="J109" s="238"/>
      <c r="K109" s="238"/>
    </row>
    <row r="110" spans="1:11" ht="24.75" thickBot="1">
      <c r="A110" s="344"/>
      <c r="B110" s="1370"/>
      <c r="C110" s="261"/>
      <c r="D110" s="267" t="s">
        <v>42</v>
      </c>
      <c r="E110" s="447" t="s">
        <v>1365</v>
      </c>
      <c r="F110" s="238"/>
      <c r="G110" s="238"/>
      <c r="H110" s="238"/>
      <c r="I110" s="238"/>
      <c r="J110" s="238"/>
      <c r="K110" s="238"/>
    </row>
    <row r="111" spans="1:11" ht="45.75" thickBot="1">
      <c r="A111" s="344"/>
      <c r="B111" s="1370"/>
      <c r="C111" s="261"/>
      <c r="D111" s="267" t="s">
        <v>43</v>
      </c>
      <c r="E111" s="576" t="s">
        <v>1366</v>
      </c>
      <c r="F111" s="238"/>
      <c r="G111" s="238"/>
      <c r="H111" s="238"/>
      <c r="I111" s="238"/>
      <c r="J111" s="238"/>
      <c r="K111" s="238"/>
    </row>
    <row r="112" spans="1:11" ht="15.75" thickBot="1">
      <c r="A112" s="344"/>
      <c r="B112" s="1370"/>
      <c r="C112" s="261"/>
      <c r="D112" s="267" t="s">
        <v>44</v>
      </c>
      <c r="E112" s="447">
        <v>5748960</v>
      </c>
      <c r="F112" s="238"/>
      <c r="G112" s="238"/>
      <c r="H112" s="238"/>
      <c r="I112" s="238"/>
      <c r="J112" s="238"/>
      <c r="K112" s="238"/>
    </row>
    <row r="113" spans="1:11" ht="36.75" thickBot="1">
      <c r="A113" s="344"/>
      <c r="B113" s="1371"/>
      <c r="C113" s="332"/>
      <c r="D113" s="267" t="s">
        <v>45</v>
      </c>
      <c r="E113" s="447" t="s">
        <v>1367</v>
      </c>
      <c r="F113" s="238"/>
      <c r="G113" s="238"/>
      <c r="H113" s="238"/>
      <c r="I113" s="238"/>
      <c r="J113" s="238"/>
      <c r="K113" s="238"/>
    </row>
    <row r="114" spans="1:11" ht="15.75" thickBot="1">
      <c r="A114" s="344"/>
      <c r="B114" s="239"/>
      <c r="C114" s="240"/>
      <c r="D114" s="238"/>
      <c r="E114" s="562"/>
      <c r="F114" s="238"/>
      <c r="G114" s="238"/>
      <c r="H114" s="238"/>
      <c r="I114" s="238"/>
      <c r="J114" s="238"/>
      <c r="K114" s="238"/>
    </row>
    <row r="115" spans="1:11" ht="15" customHeight="1" thickBot="1">
      <c r="A115" s="344"/>
      <c r="B115" s="1366" t="s">
        <v>46</v>
      </c>
      <c r="C115" s="1367"/>
      <c r="D115" s="1367"/>
      <c r="E115" s="1368"/>
      <c r="F115" s="238"/>
      <c r="G115" s="238"/>
      <c r="H115" s="238"/>
      <c r="I115" s="238"/>
      <c r="J115" s="238"/>
      <c r="K115" s="238"/>
    </row>
    <row r="116" spans="1:11" ht="60.75" thickBot="1">
      <c r="A116" s="344"/>
      <c r="B116" s="1369">
        <v>1</v>
      </c>
      <c r="C116" s="261"/>
      <c r="D116" s="278" t="s">
        <v>39</v>
      </c>
      <c r="E116" s="183" t="s">
        <v>47</v>
      </c>
      <c r="F116" s="238"/>
      <c r="G116" s="238"/>
      <c r="H116" s="238"/>
      <c r="I116" s="238"/>
      <c r="J116" s="238"/>
      <c r="K116" s="238"/>
    </row>
    <row r="117" spans="1:11" ht="84.75" thickBot="1">
      <c r="A117" s="344"/>
      <c r="B117" s="1370"/>
      <c r="C117" s="261"/>
      <c r="D117" s="267" t="s">
        <v>40</v>
      </c>
      <c r="E117" s="183" t="s">
        <v>48</v>
      </c>
      <c r="F117" s="238"/>
      <c r="G117" s="238"/>
      <c r="H117" s="238"/>
      <c r="I117" s="238"/>
      <c r="J117" s="238"/>
      <c r="K117" s="238"/>
    </row>
    <row r="118" spans="1:11" ht="15.75" thickBot="1">
      <c r="A118" s="344"/>
      <c r="B118" s="1370"/>
      <c r="C118" s="261"/>
      <c r="D118" s="267" t="s">
        <v>41</v>
      </c>
      <c r="E118" s="577"/>
      <c r="F118" s="238"/>
      <c r="G118" s="238"/>
      <c r="H118" s="238"/>
      <c r="I118" s="238"/>
      <c r="J118" s="238"/>
      <c r="K118" s="238"/>
    </row>
    <row r="119" spans="1:11" ht="15.75" thickBot="1">
      <c r="A119" s="344"/>
      <c r="B119" s="1370"/>
      <c r="C119" s="261"/>
      <c r="D119" s="267" t="s">
        <v>42</v>
      </c>
      <c r="E119" s="577"/>
      <c r="F119" s="238"/>
      <c r="G119" s="238"/>
      <c r="H119" s="238"/>
      <c r="I119" s="238"/>
      <c r="J119" s="238"/>
      <c r="K119" s="238"/>
    </row>
    <row r="120" spans="1:11" ht="15.75" thickBot="1">
      <c r="A120" s="344"/>
      <c r="B120" s="1370"/>
      <c r="C120" s="261"/>
      <c r="D120" s="267" t="s">
        <v>43</v>
      </c>
      <c r="E120" s="577"/>
      <c r="F120" s="238"/>
      <c r="G120" s="238"/>
      <c r="H120" s="238"/>
      <c r="I120" s="238"/>
      <c r="J120" s="238"/>
      <c r="K120" s="238"/>
    </row>
    <row r="121" spans="1:11" ht="15.75" thickBot="1">
      <c r="A121" s="344"/>
      <c r="B121" s="1370"/>
      <c r="C121" s="261"/>
      <c r="D121" s="267" t="s">
        <v>44</v>
      </c>
      <c r="E121" s="577"/>
      <c r="F121" s="238"/>
      <c r="G121" s="238"/>
      <c r="H121" s="238"/>
      <c r="I121" s="238"/>
      <c r="J121" s="238"/>
      <c r="K121" s="238"/>
    </row>
    <row r="122" spans="1:11" ht="15.75" thickBot="1">
      <c r="A122" s="344"/>
      <c r="B122" s="1371"/>
      <c r="C122" s="332"/>
      <c r="D122" s="267" t="s">
        <v>45</v>
      </c>
      <c r="E122" s="577"/>
      <c r="F122" s="238"/>
      <c r="G122" s="238"/>
      <c r="H122" s="238"/>
      <c r="I122" s="238"/>
      <c r="J122" s="238"/>
      <c r="K122" s="238"/>
    </row>
    <row r="123" spans="1:11" ht="15.75" thickBot="1">
      <c r="A123" s="344"/>
      <c r="B123" s="239"/>
      <c r="C123" s="240"/>
      <c r="D123" s="238"/>
      <c r="E123" s="238"/>
      <c r="F123" s="238"/>
      <c r="G123" s="238"/>
      <c r="H123" s="238"/>
      <c r="I123" s="238"/>
      <c r="J123" s="238"/>
      <c r="K123" s="238"/>
    </row>
    <row r="124" spans="1:11" ht="15" customHeight="1" thickBot="1">
      <c r="A124" s="344"/>
      <c r="B124" s="280" t="s">
        <v>49</v>
      </c>
      <c r="C124" s="281"/>
      <c r="D124" s="281"/>
      <c r="E124" s="356"/>
      <c r="F124" s="344"/>
      <c r="G124" s="238"/>
      <c r="H124" s="238"/>
      <c r="I124" s="238"/>
      <c r="J124" s="238"/>
      <c r="K124" s="238"/>
    </row>
    <row r="125" spans="1:11" ht="24.75" thickBot="1">
      <c r="A125" s="344"/>
      <c r="B125" s="274" t="s">
        <v>50</v>
      </c>
      <c r="C125" s="267" t="s">
        <v>51</v>
      </c>
      <c r="D125" s="266" t="s">
        <v>52</v>
      </c>
      <c r="E125" s="288" t="s">
        <v>53</v>
      </c>
      <c r="F125" s="238"/>
      <c r="G125" s="238"/>
      <c r="H125" s="238"/>
      <c r="I125" s="238"/>
      <c r="J125" s="238"/>
      <c r="K125" s="344"/>
    </row>
    <row r="126" spans="1:11" ht="96.75" thickBot="1">
      <c r="A126" s="344"/>
      <c r="B126" s="284">
        <v>42401</v>
      </c>
      <c r="C126" s="267">
        <v>1</v>
      </c>
      <c r="D126" s="295" t="s">
        <v>54</v>
      </c>
      <c r="E126" s="267"/>
      <c r="F126" s="238"/>
      <c r="G126" s="238"/>
      <c r="H126" s="238"/>
      <c r="I126" s="238"/>
      <c r="J126" s="238"/>
      <c r="K126" s="344"/>
    </row>
    <row r="127" spans="1:11" ht="15.75" thickBot="1">
      <c r="A127" s="344"/>
      <c r="B127" s="296"/>
      <c r="C127" s="297"/>
      <c r="D127" s="238"/>
      <c r="E127" s="238"/>
      <c r="F127" s="238"/>
      <c r="G127" s="238"/>
      <c r="H127" s="238"/>
      <c r="I127" s="238"/>
      <c r="J127" s="238"/>
      <c r="K127" s="238"/>
    </row>
    <row r="128" spans="1:11">
      <c r="A128" s="344"/>
      <c r="B128" s="286" t="s">
        <v>55</v>
      </c>
      <c r="C128" s="287"/>
      <c r="D128" s="238"/>
      <c r="E128" s="238"/>
      <c r="F128" s="238"/>
      <c r="G128" s="238"/>
      <c r="H128" s="238"/>
      <c r="I128" s="238"/>
      <c r="J128" s="238"/>
      <c r="K128" s="238"/>
    </row>
    <row r="129" spans="1:11">
      <c r="A129" s="344"/>
      <c r="B129" s="1372"/>
      <c r="C129" s="1372"/>
      <c r="D129" s="1372"/>
      <c r="E129" s="1372"/>
      <c r="F129" s="1372"/>
      <c r="G129" s="238"/>
      <c r="H129" s="238"/>
      <c r="I129" s="238"/>
      <c r="J129" s="238"/>
      <c r="K129" s="238"/>
    </row>
    <row r="130" spans="1:11" ht="44.1" customHeight="1">
      <c r="A130" s="344"/>
      <c r="B130" s="1372"/>
      <c r="C130" s="1372"/>
      <c r="D130" s="1372"/>
      <c r="E130" s="1372"/>
      <c r="F130" s="1372"/>
      <c r="G130" s="238"/>
      <c r="H130" s="238"/>
      <c r="I130" s="238"/>
      <c r="J130" s="238"/>
      <c r="K130" s="238"/>
    </row>
    <row r="131" spans="1:11">
      <c r="A131" s="344"/>
      <c r="B131" s="239"/>
      <c r="C131" s="240"/>
      <c r="D131" s="238"/>
      <c r="E131" s="238"/>
      <c r="F131" s="238"/>
      <c r="G131" s="238"/>
      <c r="H131" s="238"/>
      <c r="I131" s="238"/>
      <c r="J131" s="238"/>
      <c r="K131" s="238"/>
    </row>
    <row r="132" spans="1:11" ht="15.75" thickBot="1">
      <c r="A132" s="344"/>
      <c r="B132" s="306"/>
      <c r="C132" s="292"/>
      <c r="D132" s="238"/>
      <c r="E132" s="238"/>
      <c r="F132" s="238"/>
      <c r="G132" s="238"/>
      <c r="H132" s="238"/>
      <c r="I132" s="238"/>
      <c r="J132" s="238"/>
      <c r="K132" s="238"/>
    </row>
    <row r="133" spans="1:11" ht="24.75" thickBot="1">
      <c r="A133" s="344"/>
      <c r="B133" s="298" t="s">
        <v>56</v>
      </c>
      <c r="C133" s="299"/>
      <c r="D133" s="238"/>
      <c r="E133" s="238"/>
      <c r="F133" s="238"/>
      <c r="G133" s="238"/>
      <c r="H133" s="238"/>
      <c r="I133" s="238"/>
      <c r="J133" s="238"/>
      <c r="K133" s="238"/>
    </row>
    <row r="134" spans="1:11" ht="15.75" thickBot="1">
      <c r="A134" s="344"/>
      <c r="B134" s="306"/>
      <c r="C134" s="292"/>
      <c r="D134" s="238"/>
      <c r="E134" s="238"/>
      <c r="F134" s="238"/>
      <c r="G134" s="238"/>
      <c r="H134" s="238"/>
      <c r="I134" s="238"/>
      <c r="J134" s="238"/>
      <c r="K134" s="238"/>
    </row>
    <row r="135" spans="1:11" ht="15.75" thickBot="1">
      <c r="A135" s="344"/>
      <c r="B135" s="288" t="s">
        <v>57</v>
      </c>
      <c r="C135" s="289"/>
      <c r="D135" s="1378" t="s">
        <v>58</v>
      </c>
      <c r="E135" s="1379"/>
      <c r="F135" s="1380"/>
      <c r="G135" s="238"/>
      <c r="H135" s="238"/>
      <c r="I135" s="238"/>
      <c r="J135" s="238"/>
      <c r="K135" s="238"/>
    </row>
    <row r="136" spans="1:11">
      <c r="A136" s="344"/>
      <c r="B136" s="1369" t="s">
        <v>59</v>
      </c>
      <c r="C136" s="257"/>
      <c r="D136" s="1363" t="s">
        <v>60</v>
      </c>
      <c r="E136" s="1364"/>
      <c r="F136" s="1365"/>
      <c r="G136" s="238"/>
      <c r="H136" s="238"/>
      <c r="I136" s="238"/>
      <c r="J136" s="238"/>
      <c r="K136" s="238"/>
    </row>
    <row r="137" spans="1:11">
      <c r="A137" s="344"/>
      <c r="B137" s="1370"/>
      <c r="C137" s="265"/>
      <c r="D137" s="1357" t="s">
        <v>61</v>
      </c>
      <c r="E137" s="1358"/>
      <c r="F137" s="1359"/>
      <c r="G137" s="238"/>
      <c r="H137" s="238"/>
      <c r="I137" s="238"/>
      <c r="J137" s="238"/>
      <c r="K137" s="238"/>
    </row>
    <row r="138" spans="1:11">
      <c r="A138" s="344"/>
      <c r="B138" s="1370"/>
      <c r="C138" s="265"/>
      <c r="D138" s="1357" t="s">
        <v>62</v>
      </c>
      <c r="E138" s="1358"/>
      <c r="F138" s="1359"/>
      <c r="G138" s="238"/>
      <c r="H138" s="238"/>
      <c r="I138" s="238"/>
      <c r="J138" s="238"/>
      <c r="K138" s="238"/>
    </row>
    <row r="139" spans="1:11">
      <c r="A139" s="344"/>
      <c r="B139" s="1370"/>
      <c r="C139" s="265"/>
      <c r="D139" s="1354" t="s">
        <v>63</v>
      </c>
      <c r="E139" s="1355"/>
      <c r="F139" s="1356"/>
      <c r="G139" s="238"/>
      <c r="H139" s="238"/>
      <c r="I139" s="238"/>
      <c r="J139" s="238"/>
      <c r="K139" s="238"/>
    </row>
    <row r="140" spans="1:11">
      <c r="A140" s="344"/>
      <c r="B140" s="1370"/>
      <c r="C140" s="265"/>
      <c r="D140" s="1357" t="s">
        <v>64</v>
      </c>
      <c r="E140" s="1358"/>
      <c r="F140" s="1359"/>
      <c r="G140" s="238"/>
      <c r="H140" s="238"/>
      <c r="I140" s="238"/>
      <c r="J140" s="238"/>
      <c r="K140" s="238"/>
    </row>
    <row r="141" spans="1:11">
      <c r="A141" s="344"/>
      <c r="B141" s="1370"/>
      <c r="C141" s="265"/>
      <c r="D141" s="1357" t="s">
        <v>65</v>
      </c>
      <c r="E141" s="1358"/>
      <c r="F141" s="1359"/>
      <c r="G141" s="238"/>
      <c r="H141" s="238"/>
      <c r="I141" s="238"/>
      <c r="J141" s="238"/>
      <c r="K141" s="238"/>
    </row>
    <row r="142" spans="1:11">
      <c r="A142" s="344"/>
      <c r="B142" s="1370"/>
      <c r="C142" s="265"/>
      <c r="D142" s="1357" t="s">
        <v>66</v>
      </c>
      <c r="E142" s="1358"/>
      <c r="F142" s="1359"/>
      <c r="G142" s="238"/>
      <c r="H142" s="238"/>
      <c r="I142" s="238"/>
      <c r="J142" s="238"/>
      <c r="K142" s="238"/>
    </row>
    <row r="143" spans="1:11">
      <c r="A143" s="344"/>
      <c r="B143" s="1370"/>
      <c r="C143" s="265"/>
      <c r="D143" s="1357" t="s">
        <v>67</v>
      </c>
      <c r="E143" s="1358"/>
      <c r="F143" s="1359"/>
      <c r="G143" s="238"/>
      <c r="H143" s="238"/>
      <c r="I143" s="238"/>
      <c r="J143" s="238"/>
      <c r="K143" s="238"/>
    </row>
    <row r="144" spans="1:11">
      <c r="A144" s="344"/>
      <c r="B144" s="1370"/>
      <c r="C144" s="265"/>
      <c r="D144" s="1354" t="s">
        <v>68</v>
      </c>
      <c r="E144" s="1355"/>
      <c r="F144" s="1356"/>
      <c r="G144" s="238"/>
      <c r="H144" s="238"/>
      <c r="I144" s="238"/>
      <c r="J144" s="238"/>
      <c r="K144" s="238"/>
    </row>
    <row r="145" spans="1:11">
      <c r="A145" s="344"/>
      <c r="B145" s="1370"/>
      <c r="C145" s="265"/>
      <c r="D145" s="1357" t="s">
        <v>69</v>
      </c>
      <c r="E145" s="1358"/>
      <c r="F145" s="1359"/>
      <c r="G145" s="238"/>
      <c r="H145" s="238"/>
      <c r="I145" s="238"/>
      <c r="J145" s="238"/>
      <c r="K145" s="238"/>
    </row>
    <row r="146" spans="1:11">
      <c r="A146" s="344"/>
      <c r="B146" s="1370"/>
      <c r="C146" s="265"/>
      <c r="D146" s="1357" t="s">
        <v>70</v>
      </c>
      <c r="E146" s="1358"/>
      <c r="F146" s="1359"/>
      <c r="G146" s="238"/>
      <c r="H146" s="238"/>
      <c r="I146" s="238"/>
      <c r="J146" s="238"/>
      <c r="K146" s="238"/>
    </row>
    <row r="147" spans="1:11" ht="15.75" thickBot="1">
      <c r="A147" s="344"/>
      <c r="B147" s="1371"/>
      <c r="C147" s="275"/>
      <c r="D147" s="1381" t="s">
        <v>71</v>
      </c>
      <c r="E147" s="1382"/>
      <c r="F147" s="1383"/>
      <c r="G147" s="238"/>
      <c r="H147" s="238"/>
      <c r="I147" s="238"/>
      <c r="J147" s="238"/>
      <c r="K147" s="238"/>
    </row>
    <row r="148" spans="1:11" ht="24.75" thickBot="1">
      <c r="A148" s="344"/>
      <c r="B148" s="274" t="s">
        <v>72</v>
      </c>
      <c r="C148" s="275"/>
      <c r="D148" s="1378"/>
      <c r="E148" s="1379"/>
      <c r="F148" s="1380"/>
      <c r="G148" s="238"/>
      <c r="H148" s="238"/>
      <c r="I148" s="238"/>
      <c r="J148" s="238"/>
      <c r="K148" s="238"/>
    </row>
    <row r="149" spans="1:11">
      <c r="A149" s="344"/>
      <c r="B149" s="1369" t="s">
        <v>73</v>
      </c>
      <c r="C149" s="257"/>
      <c r="D149" s="1351" t="s">
        <v>74</v>
      </c>
      <c r="E149" s="1352"/>
      <c r="F149" s="1353"/>
      <c r="G149" s="238"/>
      <c r="H149" s="238"/>
      <c r="I149" s="238"/>
      <c r="J149" s="238"/>
      <c r="K149" s="238"/>
    </row>
    <row r="150" spans="1:11">
      <c r="A150" s="344"/>
      <c r="B150" s="1370"/>
      <c r="C150" s="265"/>
      <c r="D150" s="1354" t="s">
        <v>75</v>
      </c>
      <c r="E150" s="1355"/>
      <c r="F150" s="1356"/>
      <c r="G150" s="238"/>
      <c r="H150" s="238"/>
      <c r="I150" s="238"/>
      <c r="J150" s="238"/>
      <c r="K150" s="238"/>
    </row>
    <row r="151" spans="1:11">
      <c r="A151" s="344"/>
      <c r="B151" s="1370"/>
      <c r="C151" s="265"/>
      <c r="D151" s="1357" t="s">
        <v>76</v>
      </c>
      <c r="E151" s="1358"/>
      <c r="F151" s="1359"/>
      <c r="G151" s="238"/>
      <c r="H151" s="238"/>
      <c r="I151" s="238"/>
      <c r="J151" s="238"/>
      <c r="K151" s="238"/>
    </row>
    <row r="152" spans="1:11">
      <c r="A152" s="344"/>
      <c r="B152" s="1370"/>
      <c r="C152" s="265"/>
      <c r="D152" s="1357" t="s">
        <v>77</v>
      </c>
      <c r="E152" s="1358"/>
      <c r="F152" s="1359"/>
      <c r="G152" s="238"/>
      <c r="H152" s="238"/>
      <c r="I152" s="238"/>
      <c r="J152" s="238"/>
      <c r="K152" s="238"/>
    </row>
    <row r="153" spans="1:11">
      <c r="A153" s="344"/>
      <c r="B153" s="1370"/>
      <c r="C153" s="265"/>
      <c r="D153" s="1357" t="s">
        <v>78</v>
      </c>
      <c r="E153" s="1358"/>
      <c r="F153" s="1359"/>
      <c r="G153" s="238"/>
      <c r="H153" s="238"/>
      <c r="I153" s="238"/>
      <c r="J153" s="238"/>
      <c r="K153" s="238"/>
    </row>
    <row r="154" spans="1:11">
      <c r="A154" s="344"/>
      <c r="B154" s="1370"/>
      <c r="C154" s="265"/>
      <c r="D154" s="1357" t="s">
        <v>79</v>
      </c>
      <c r="E154" s="1358"/>
      <c r="F154" s="1359"/>
      <c r="G154" s="238"/>
      <c r="H154" s="238"/>
      <c r="I154" s="238"/>
      <c r="J154" s="238"/>
      <c r="K154" s="238"/>
    </row>
    <row r="155" spans="1:11">
      <c r="A155" s="344"/>
      <c r="B155" s="1370"/>
      <c r="C155" s="265"/>
      <c r="D155" s="1357" t="s">
        <v>80</v>
      </c>
      <c r="E155" s="1358"/>
      <c r="F155" s="1359"/>
      <c r="G155" s="238"/>
      <c r="H155" s="238"/>
      <c r="I155" s="238"/>
      <c r="J155" s="238"/>
      <c r="K155" s="238"/>
    </row>
    <row r="156" spans="1:11">
      <c r="A156" s="344"/>
      <c r="B156" s="1370"/>
      <c r="C156" s="265"/>
      <c r="D156" s="1357" t="s">
        <v>81</v>
      </c>
      <c r="E156" s="1358"/>
      <c r="F156" s="1359"/>
      <c r="G156" s="238"/>
      <c r="H156" s="238"/>
      <c r="I156" s="238"/>
      <c r="J156" s="238"/>
      <c r="K156" s="238"/>
    </row>
    <row r="157" spans="1:11">
      <c r="A157" s="344"/>
      <c r="B157" s="1370"/>
      <c r="C157" s="265"/>
      <c r="D157" s="1354" t="s">
        <v>82</v>
      </c>
      <c r="E157" s="1355"/>
      <c r="F157" s="1356"/>
      <c r="G157" s="238"/>
      <c r="H157" s="238"/>
      <c r="I157" s="238"/>
      <c r="J157" s="238"/>
      <c r="K157" s="238"/>
    </row>
    <row r="158" spans="1:11">
      <c r="A158" s="344"/>
      <c r="B158" s="1370"/>
      <c r="C158" s="265"/>
      <c r="D158" s="1357" t="s">
        <v>83</v>
      </c>
      <c r="E158" s="1358"/>
      <c r="F158" s="1359"/>
      <c r="G158" s="238"/>
      <c r="H158" s="238"/>
      <c r="I158" s="238"/>
      <c r="J158" s="238"/>
      <c r="K158" s="238"/>
    </row>
    <row r="159" spans="1:11">
      <c r="A159" s="344"/>
      <c r="B159" s="1370"/>
      <c r="C159" s="265"/>
      <c r="D159" s="1357" t="s">
        <v>84</v>
      </c>
      <c r="E159" s="1358"/>
      <c r="F159" s="1359"/>
      <c r="G159" s="238"/>
      <c r="H159" s="238"/>
      <c r="I159" s="238"/>
      <c r="J159" s="238"/>
      <c r="K159" s="238"/>
    </row>
    <row r="160" spans="1:11">
      <c r="A160" s="344"/>
      <c r="B160" s="1370"/>
      <c r="C160" s="265"/>
      <c r="D160" s="1357" t="s">
        <v>85</v>
      </c>
      <c r="E160" s="1358"/>
      <c r="F160" s="1359"/>
      <c r="G160" s="238"/>
      <c r="H160" s="238"/>
      <c r="I160" s="238"/>
      <c r="J160" s="238"/>
      <c r="K160" s="238"/>
    </row>
    <row r="161" spans="1:11">
      <c r="A161" s="344"/>
      <c r="B161" s="1370"/>
      <c r="C161" s="265"/>
      <c r="D161" s="1357" t="s">
        <v>86</v>
      </c>
      <c r="E161" s="1358"/>
      <c r="F161" s="1359"/>
      <c r="G161" s="238"/>
      <c r="H161" s="238"/>
      <c r="I161" s="238"/>
      <c r="J161" s="238"/>
      <c r="K161" s="238"/>
    </row>
    <row r="162" spans="1:11">
      <c r="A162" s="344"/>
      <c r="B162" s="1370"/>
      <c r="C162" s="265"/>
      <c r="D162" s="1354" t="s">
        <v>87</v>
      </c>
      <c r="E162" s="1355"/>
      <c r="F162" s="1356"/>
      <c r="G162" s="238"/>
      <c r="H162" s="238"/>
      <c r="I162" s="238"/>
      <c r="J162" s="238"/>
      <c r="K162" s="238"/>
    </row>
    <row r="163" spans="1:11">
      <c r="A163" s="344"/>
      <c r="B163" s="1370"/>
      <c r="C163" s="265"/>
      <c r="D163" s="1357" t="s">
        <v>88</v>
      </c>
      <c r="E163" s="1358"/>
      <c r="F163" s="1359"/>
      <c r="G163" s="238"/>
      <c r="H163" s="238"/>
      <c r="I163" s="238"/>
      <c r="J163" s="238"/>
      <c r="K163" s="238"/>
    </row>
    <row r="164" spans="1:11">
      <c r="A164" s="344"/>
      <c r="B164" s="1370"/>
      <c r="C164" s="265"/>
      <c r="D164" s="1357" t="s">
        <v>84</v>
      </c>
      <c r="E164" s="1358"/>
      <c r="F164" s="1359"/>
      <c r="G164" s="238"/>
      <c r="H164" s="238"/>
      <c r="I164" s="238"/>
      <c r="J164" s="238"/>
      <c r="K164" s="238"/>
    </row>
    <row r="165" spans="1:11">
      <c r="A165" s="344"/>
      <c r="B165" s="1370"/>
      <c r="C165" s="265"/>
      <c r="D165" s="1357" t="s">
        <v>85</v>
      </c>
      <c r="E165" s="1358"/>
      <c r="F165" s="1359"/>
      <c r="G165" s="238"/>
      <c r="H165" s="238"/>
      <c r="I165" s="238"/>
      <c r="J165" s="238"/>
      <c r="K165" s="238"/>
    </row>
    <row r="166" spans="1:11" ht="15.75" thickBot="1">
      <c r="A166" s="344"/>
      <c r="B166" s="1371"/>
      <c r="C166" s="275"/>
      <c r="D166" s="1384" t="s">
        <v>89</v>
      </c>
      <c r="E166" s="1385"/>
      <c r="F166" s="1386"/>
      <c r="G166" s="238"/>
      <c r="H166" s="238"/>
      <c r="I166" s="238"/>
      <c r="J166" s="238"/>
      <c r="K166" s="238"/>
    </row>
    <row r="167" spans="1:11">
      <c r="A167" s="344"/>
      <c r="B167" s="1369" t="s">
        <v>90</v>
      </c>
      <c r="C167" s="257"/>
      <c r="D167" s="1351"/>
      <c r="E167" s="1352"/>
      <c r="F167" s="1353"/>
      <c r="G167" s="238"/>
      <c r="H167" s="238"/>
      <c r="I167" s="238"/>
      <c r="J167" s="238"/>
      <c r="K167" s="238"/>
    </row>
    <row r="168" spans="1:11">
      <c r="A168" s="344"/>
      <c r="B168" s="1370"/>
      <c r="C168" s="265"/>
      <c r="D168" s="1387"/>
      <c r="E168" s="1388"/>
      <c r="F168" s="1389"/>
      <c r="G168" s="238"/>
      <c r="H168" s="238"/>
      <c r="I168" s="238"/>
      <c r="J168" s="238"/>
      <c r="K168" s="238"/>
    </row>
    <row r="169" spans="1:11">
      <c r="A169" s="344"/>
      <c r="B169" s="1370"/>
      <c r="C169" s="265"/>
      <c r="D169" s="1357" t="s">
        <v>91</v>
      </c>
      <c r="E169" s="1358"/>
      <c r="F169" s="1359"/>
      <c r="G169" s="238"/>
      <c r="H169" s="238"/>
      <c r="I169" s="238"/>
      <c r="J169" s="238"/>
      <c r="K169" s="238"/>
    </row>
    <row r="170" spans="1:11">
      <c r="A170" s="344"/>
      <c r="B170" s="1370"/>
      <c r="C170" s="265"/>
      <c r="D170" s="1357" t="s">
        <v>92</v>
      </c>
      <c r="E170" s="1358"/>
      <c r="F170" s="1359"/>
      <c r="G170" s="238"/>
      <c r="H170" s="238"/>
      <c r="I170" s="238"/>
      <c r="J170" s="238"/>
      <c r="K170" s="238"/>
    </row>
    <row r="171" spans="1:11">
      <c r="A171" s="344"/>
      <c r="B171" s="1370"/>
      <c r="C171" s="265"/>
      <c r="D171" s="1357" t="s">
        <v>93</v>
      </c>
      <c r="E171" s="1358"/>
      <c r="F171" s="1359"/>
      <c r="G171" s="238"/>
      <c r="H171" s="238"/>
      <c r="I171" s="238"/>
      <c r="J171" s="238"/>
      <c r="K171" s="238"/>
    </row>
    <row r="172" spans="1:11">
      <c r="A172" s="344"/>
      <c r="B172" s="1370"/>
      <c r="C172" s="265"/>
      <c r="D172" s="1357" t="s">
        <v>94</v>
      </c>
      <c r="E172" s="1358"/>
      <c r="F172" s="1359"/>
      <c r="G172" s="238"/>
      <c r="H172" s="238"/>
      <c r="I172" s="238"/>
      <c r="J172" s="238"/>
      <c r="K172" s="238"/>
    </row>
    <row r="173" spans="1:11">
      <c r="A173" s="344"/>
      <c r="B173" s="1370"/>
      <c r="C173" s="265"/>
      <c r="D173" s="1357" t="s">
        <v>95</v>
      </c>
      <c r="E173" s="1358"/>
      <c r="F173" s="1359"/>
      <c r="G173" s="238"/>
      <c r="H173" s="238"/>
      <c r="I173" s="238"/>
      <c r="J173" s="238"/>
      <c r="K173" s="238"/>
    </row>
    <row r="174" spans="1:11">
      <c r="A174" s="344"/>
      <c r="B174" s="1370"/>
      <c r="C174" s="265"/>
      <c r="D174" s="1357" t="s">
        <v>96</v>
      </c>
      <c r="E174" s="1358"/>
      <c r="F174" s="1359"/>
      <c r="G174" s="238"/>
      <c r="H174" s="238"/>
      <c r="I174" s="238"/>
      <c r="J174" s="238"/>
      <c r="K174" s="238"/>
    </row>
    <row r="175" spans="1:11">
      <c r="A175" s="344"/>
      <c r="B175" s="1370"/>
      <c r="C175" s="265"/>
      <c r="D175" s="1357" t="s">
        <v>97</v>
      </c>
      <c r="E175" s="1358"/>
      <c r="F175" s="1359"/>
      <c r="G175" s="238"/>
      <c r="H175" s="238"/>
      <c r="I175" s="238"/>
      <c r="J175" s="238"/>
      <c r="K175" s="238"/>
    </row>
    <row r="176" spans="1:11">
      <c r="A176" s="344"/>
      <c r="B176" s="1370"/>
      <c r="C176" s="265"/>
      <c r="D176" s="1357" t="s">
        <v>98</v>
      </c>
      <c r="E176" s="1358"/>
      <c r="F176" s="1359"/>
      <c r="G176" s="238"/>
      <c r="H176" s="238"/>
      <c r="I176" s="238"/>
      <c r="J176" s="238"/>
      <c r="K176" s="238"/>
    </row>
    <row r="177" spans="1:11">
      <c r="A177" s="344"/>
      <c r="B177" s="1370"/>
      <c r="C177" s="265"/>
      <c r="D177" s="1357" t="s">
        <v>99</v>
      </c>
      <c r="E177" s="1358"/>
      <c r="F177" s="1359"/>
      <c r="G177" s="238"/>
      <c r="H177" s="238"/>
      <c r="I177" s="238"/>
      <c r="J177" s="238"/>
      <c r="K177" s="238"/>
    </row>
    <row r="178" spans="1:11">
      <c r="A178" s="344"/>
      <c r="B178" s="1370"/>
      <c r="C178" s="265"/>
      <c r="D178" s="1357" t="s">
        <v>100</v>
      </c>
      <c r="E178" s="1358"/>
      <c r="F178" s="1359"/>
      <c r="G178" s="238"/>
      <c r="H178" s="238"/>
      <c r="I178" s="238"/>
      <c r="J178" s="238"/>
      <c r="K178" s="238"/>
    </row>
    <row r="179" spans="1:11">
      <c r="A179" s="344"/>
      <c r="B179" s="1370"/>
      <c r="C179" s="265"/>
      <c r="D179" s="1357" t="s">
        <v>101</v>
      </c>
      <c r="E179" s="1358"/>
      <c r="F179" s="1359"/>
      <c r="G179" s="238"/>
      <c r="H179" s="238"/>
      <c r="I179" s="238"/>
      <c r="J179" s="238"/>
      <c r="K179" s="238"/>
    </row>
    <row r="180" spans="1:11" ht="15.75" thickBot="1">
      <c r="A180" s="344"/>
      <c r="B180" s="1370"/>
      <c r="C180" s="265"/>
      <c r="D180" s="1348" t="s">
        <v>102</v>
      </c>
      <c r="E180" s="1349"/>
      <c r="F180" s="1350"/>
      <c r="G180" s="238"/>
      <c r="H180" s="238"/>
      <c r="I180" s="238"/>
      <c r="J180" s="238"/>
      <c r="K180" s="238"/>
    </row>
    <row r="181" spans="1:11" ht="24.75" thickBot="1">
      <c r="A181" s="344"/>
      <c r="B181" s="1370"/>
      <c r="C181" s="261"/>
      <c r="D181" s="276" t="s">
        <v>103</v>
      </c>
      <c r="E181" s="276" t="s">
        <v>104</v>
      </c>
      <c r="F181" s="276" t="s">
        <v>105</v>
      </c>
      <c r="G181" s="238"/>
      <c r="H181" s="238"/>
      <c r="I181" s="238"/>
      <c r="J181" s="238"/>
      <c r="K181" s="238"/>
    </row>
    <row r="182" spans="1:11" ht="15.75" thickBot="1">
      <c r="A182" s="344"/>
      <c r="B182" s="1370"/>
      <c r="C182" s="261"/>
      <c r="D182" s="267" t="s">
        <v>106</v>
      </c>
      <c r="E182" s="357">
        <v>0.15</v>
      </c>
      <c r="F182" s="357">
        <v>0.15</v>
      </c>
      <c r="G182" s="238"/>
      <c r="H182" s="238"/>
      <c r="I182" s="238"/>
      <c r="J182" s="238"/>
      <c r="K182" s="238"/>
    </row>
    <row r="183" spans="1:11" ht="15.75" thickBot="1">
      <c r="A183" s="344"/>
      <c r="B183" s="1370"/>
      <c r="C183" s="261"/>
      <c r="D183" s="267" t="s">
        <v>107</v>
      </c>
      <c r="E183" s="357">
        <v>0.18</v>
      </c>
      <c r="F183" s="357">
        <v>0.33</v>
      </c>
      <c r="G183" s="238"/>
      <c r="H183" s="358"/>
      <c r="I183" s="238"/>
      <c r="J183" s="238"/>
      <c r="K183" s="238"/>
    </row>
    <row r="184" spans="1:11" ht="15.75" thickBot="1">
      <c r="A184" s="344"/>
      <c r="B184" s="1370"/>
      <c r="C184" s="261"/>
      <c r="D184" s="267" t="s">
        <v>108</v>
      </c>
      <c r="E184" s="357">
        <v>0.33</v>
      </c>
      <c r="F184" s="357">
        <v>0.66</v>
      </c>
      <c r="G184" s="238"/>
      <c r="H184" s="358"/>
      <c r="I184" s="238"/>
      <c r="J184" s="238"/>
      <c r="K184" s="238"/>
    </row>
    <row r="185" spans="1:11" ht="24.75" thickBot="1">
      <c r="A185" s="344"/>
      <c r="B185" s="1370"/>
      <c r="C185" s="261"/>
      <c r="D185" s="267" t="s">
        <v>109</v>
      </c>
      <c r="E185" s="357">
        <v>0.16</v>
      </c>
      <c r="F185" s="357">
        <v>0.82</v>
      </c>
      <c r="G185" s="238"/>
      <c r="H185" s="358"/>
      <c r="I185" s="238"/>
      <c r="J185" s="238"/>
      <c r="K185" s="238"/>
    </row>
    <row r="186" spans="1:11" ht="15.75" thickBot="1">
      <c r="A186" s="344"/>
      <c r="B186" s="1370"/>
      <c r="C186" s="261"/>
      <c r="D186" s="267" t="s">
        <v>110</v>
      </c>
      <c r="E186" s="357">
        <v>0.18</v>
      </c>
      <c r="F186" s="357">
        <v>1</v>
      </c>
      <c r="G186" s="238"/>
      <c r="H186" s="358"/>
      <c r="I186" s="238"/>
      <c r="J186" s="238"/>
      <c r="K186" s="238"/>
    </row>
    <row r="187" spans="1:11">
      <c r="A187" s="344"/>
      <c r="B187" s="1370"/>
      <c r="C187" s="265"/>
      <c r="D187" s="1363"/>
      <c r="E187" s="1364"/>
      <c r="F187" s="1365"/>
      <c r="G187" s="238"/>
      <c r="H187" s="238"/>
      <c r="I187" s="238"/>
      <c r="J187" s="238"/>
      <c r="K187" s="238"/>
    </row>
    <row r="188" spans="1:11" ht="15.75" thickBot="1">
      <c r="A188" s="344"/>
      <c r="B188" s="1370"/>
      <c r="C188" s="265"/>
      <c r="D188" s="1348" t="s">
        <v>82</v>
      </c>
      <c r="E188" s="1349"/>
      <c r="F188" s="1350"/>
      <c r="G188" s="238"/>
      <c r="H188" s="238"/>
      <c r="I188" s="238"/>
      <c r="J188" s="238"/>
      <c r="K188" s="238"/>
    </row>
    <row r="189" spans="1:11" ht="24.75" thickBot="1">
      <c r="A189" s="344"/>
      <c r="B189" s="1370"/>
      <c r="C189" s="261"/>
      <c r="D189" s="276" t="s">
        <v>103</v>
      </c>
      <c r="E189" s="276" t="s">
        <v>104</v>
      </c>
      <c r="F189" s="276" t="s">
        <v>105</v>
      </c>
      <c r="G189" s="238"/>
      <c r="H189" s="238"/>
      <c r="I189" s="238"/>
      <c r="J189" s="238"/>
      <c r="K189" s="238"/>
    </row>
    <row r="190" spans="1:11" ht="15.75" thickBot="1">
      <c r="A190" s="344"/>
      <c r="B190" s="1370"/>
      <c r="C190" s="261"/>
      <c r="D190" s="267" t="s">
        <v>111</v>
      </c>
      <c r="E190" s="357">
        <v>0.2</v>
      </c>
      <c r="F190" s="357">
        <v>0.2</v>
      </c>
      <c r="G190" s="238"/>
      <c r="H190" s="238"/>
      <c r="I190" s="238"/>
      <c r="J190" s="238"/>
      <c r="K190" s="238"/>
    </row>
    <row r="191" spans="1:11" ht="15.75" thickBot="1">
      <c r="A191" s="344"/>
      <c r="B191" s="1370"/>
      <c r="C191" s="261"/>
      <c r="D191" s="267" t="s">
        <v>112</v>
      </c>
      <c r="E191" s="357">
        <v>0.5</v>
      </c>
      <c r="F191" s="357">
        <v>0.7</v>
      </c>
      <c r="G191" s="238"/>
      <c r="H191" s="358"/>
      <c r="I191" s="238"/>
      <c r="J191" s="238"/>
      <c r="K191" s="238"/>
    </row>
    <row r="192" spans="1:11" ht="15.75" thickBot="1">
      <c r="A192" s="344"/>
      <c r="B192" s="1370"/>
      <c r="C192" s="261"/>
      <c r="D192" s="267" t="s">
        <v>113</v>
      </c>
      <c r="E192" s="357">
        <v>0.3</v>
      </c>
      <c r="F192" s="357">
        <v>1</v>
      </c>
      <c r="G192" s="238"/>
      <c r="H192" s="358"/>
      <c r="I192" s="238"/>
      <c r="J192" s="238"/>
      <c r="K192" s="238"/>
    </row>
    <row r="193" spans="1:11">
      <c r="A193" s="344"/>
      <c r="B193" s="1370"/>
      <c r="C193" s="265"/>
      <c r="D193" s="1351"/>
      <c r="E193" s="1352"/>
      <c r="F193" s="1353"/>
      <c r="G193" s="238"/>
      <c r="H193" s="358"/>
      <c r="I193" s="238"/>
      <c r="J193" s="238"/>
      <c r="K193" s="238"/>
    </row>
    <row r="194" spans="1:11" ht="15.75" thickBot="1">
      <c r="A194" s="344"/>
      <c r="B194" s="1370"/>
      <c r="C194" s="265"/>
      <c r="D194" s="1348" t="s">
        <v>114</v>
      </c>
      <c r="E194" s="1349"/>
      <c r="F194" s="1350"/>
      <c r="G194" s="238"/>
      <c r="H194" s="358"/>
      <c r="I194" s="238"/>
      <c r="J194" s="238"/>
      <c r="K194" s="238"/>
    </row>
    <row r="195" spans="1:11" ht="24.75" thickBot="1">
      <c r="A195" s="344"/>
      <c r="B195" s="1370"/>
      <c r="C195" s="261"/>
      <c r="D195" s="276" t="s">
        <v>103</v>
      </c>
      <c r="E195" s="276" t="s">
        <v>104</v>
      </c>
      <c r="F195" s="276" t="s">
        <v>105</v>
      </c>
      <c r="G195" s="238"/>
      <c r="H195" s="238"/>
      <c r="I195" s="238"/>
      <c r="J195" s="238"/>
      <c r="K195" s="238"/>
    </row>
    <row r="196" spans="1:11" ht="15.75" thickBot="1">
      <c r="A196" s="344"/>
      <c r="B196" s="1370"/>
      <c r="C196" s="261"/>
      <c r="D196" s="267" t="s">
        <v>115</v>
      </c>
      <c r="E196" s="357">
        <v>0.2</v>
      </c>
      <c r="F196" s="357">
        <v>0.2</v>
      </c>
      <c r="G196" s="238"/>
      <c r="H196" s="358"/>
      <c r="I196" s="238"/>
      <c r="J196" s="238"/>
      <c r="K196" s="238"/>
    </row>
    <row r="197" spans="1:11" ht="15.75" thickBot="1">
      <c r="A197" s="344"/>
      <c r="B197" s="1370"/>
      <c r="C197" s="261"/>
      <c r="D197" s="267" t="s">
        <v>112</v>
      </c>
      <c r="E197" s="357">
        <v>0.5</v>
      </c>
      <c r="F197" s="357">
        <v>0.7</v>
      </c>
      <c r="G197" s="238"/>
      <c r="H197" s="358"/>
      <c r="I197" s="238"/>
      <c r="J197" s="238"/>
      <c r="K197" s="238"/>
    </row>
    <row r="198" spans="1:11" ht="15.75" thickBot="1">
      <c r="A198" s="344"/>
      <c r="B198" s="1370"/>
      <c r="C198" s="261"/>
      <c r="D198" s="267" t="s">
        <v>113</v>
      </c>
      <c r="E198" s="357">
        <v>0.3</v>
      </c>
      <c r="F198" s="357">
        <v>1</v>
      </c>
      <c r="G198" s="238"/>
      <c r="H198" s="358"/>
      <c r="I198" s="238"/>
      <c r="J198" s="238"/>
      <c r="K198" s="238"/>
    </row>
    <row r="199" spans="1:11">
      <c r="A199" s="344"/>
      <c r="B199" s="1370"/>
      <c r="C199" s="265"/>
      <c r="D199" s="1351"/>
      <c r="E199" s="1352"/>
      <c r="F199" s="1353"/>
      <c r="G199" s="238"/>
      <c r="H199" s="238"/>
      <c r="I199" s="238"/>
      <c r="J199" s="238"/>
      <c r="K199" s="238"/>
    </row>
    <row r="200" spans="1:11">
      <c r="A200" s="344"/>
      <c r="B200" s="1370"/>
      <c r="C200" s="265"/>
      <c r="D200" s="1354" t="s">
        <v>116</v>
      </c>
      <c r="E200" s="1355"/>
      <c r="F200" s="1356"/>
      <c r="G200" s="238"/>
      <c r="H200" s="238"/>
      <c r="I200" s="238"/>
      <c r="J200" s="238"/>
      <c r="K200" s="238"/>
    </row>
    <row r="201" spans="1:11">
      <c r="A201" s="344"/>
      <c r="B201" s="1370"/>
      <c r="C201" s="265"/>
      <c r="D201" s="1357" t="s">
        <v>117</v>
      </c>
      <c r="E201" s="1358"/>
      <c r="F201" s="1359"/>
      <c r="G201" s="238"/>
      <c r="H201" s="238"/>
      <c r="I201" s="238"/>
      <c r="J201" s="238"/>
      <c r="K201" s="238"/>
    </row>
    <row r="202" spans="1:11">
      <c r="A202" s="344"/>
      <c r="B202" s="1370"/>
      <c r="C202" s="265"/>
      <c r="D202" s="290"/>
      <c r="E202" s="359"/>
      <c r="F202" s="301"/>
      <c r="G202" s="238"/>
      <c r="H202" s="238"/>
      <c r="I202" s="238"/>
      <c r="J202" s="238"/>
      <c r="K202" s="238"/>
    </row>
    <row r="203" spans="1:11">
      <c r="A203" s="344"/>
      <c r="B203" s="1370"/>
      <c r="C203" s="265"/>
      <c r="D203" s="1357" t="s">
        <v>118</v>
      </c>
      <c r="E203" s="1358"/>
      <c r="F203" s="1359"/>
      <c r="G203" s="238"/>
      <c r="H203" s="238"/>
      <c r="I203" s="238"/>
      <c r="J203" s="238"/>
      <c r="K203" s="238"/>
    </row>
    <row r="204" spans="1:11">
      <c r="A204" s="344"/>
      <c r="B204" s="1370"/>
      <c r="C204" s="265"/>
      <c r="D204" s="1357" t="s">
        <v>119</v>
      </c>
      <c r="E204" s="1358"/>
      <c r="F204" s="1359"/>
      <c r="G204" s="238"/>
      <c r="H204" s="238"/>
      <c r="I204" s="238"/>
      <c r="J204" s="238"/>
      <c r="K204" s="238"/>
    </row>
    <row r="205" spans="1:11">
      <c r="A205" s="344"/>
      <c r="B205" s="1370"/>
      <c r="C205" s="265"/>
      <c r="D205" s="1357" t="s">
        <v>120</v>
      </c>
      <c r="E205" s="1358"/>
      <c r="F205" s="1359"/>
      <c r="G205" s="238"/>
      <c r="H205" s="238"/>
      <c r="I205" s="238"/>
      <c r="J205" s="238"/>
      <c r="K205" s="238"/>
    </row>
    <row r="206" spans="1:11">
      <c r="A206" s="344"/>
      <c r="B206" s="1370"/>
      <c r="C206" s="265"/>
      <c r="D206" s="1357" t="s">
        <v>121</v>
      </c>
      <c r="E206" s="1358"/>
      <c r="F206" s="1359"/>
      <c r="G206" s="238"/>
      <c r="H206" s="238"/>
      <c r="I206" s="238"/>
      <c r="J206" s="238"/>
      <c r="K206" s="238"/>
    </row>
    <row r="207" spans="1:11">
      <c r="A207" s="344"/>
      <c r="B207" s="1370"/>
      <c r="C207" s="265"/>
      <c r="D207" s="290"/>
      <c r="E207" s="359"/>
      <c r="F207" s="301"/>
      <c r="G207" s="238"/>
      <c r="H207" s="238"/>
      <c r="I207" s="238"/>
      <c r="J207" s="238"/>
      <c r="K207" s="238"/>
    </row>
    <row r="208" spans="1:11">
      <c r="A208" s="344"/>
      <c r="B208" s="1370"/>
      <c r="C208" s="265"/>
      <c r="D208" s="1354" t="s">
        <v>122</v>
      </c>
      <c r="E208" s="1355"/>
      <c r="F208" s="1356"/>
      <c r="G208" s="238"/>
      <c r="H208" s="238"/>
      <c r="I208" s="238"/>
      <c r="J208" s="238"/>
      <c r="K208" s="238"/>
    </row>
    <row r="209" spans="1:11">
      <c r="A209" s="344"/>
      <c r="B209" s="1370"/>
      <c r="C209" s="265"/>
      <c r="D209" s="1357" t="s">
        <v>123</v>
      </c>
      <c r="E209" s="1358"/>
      <c r="F209" s="1359"/>
      <c r="G209" s="238"/>
      <c r="H209" s="238"/>
      <c r="I209" s="238"/>
      <c r="J209" s="238"/>
      <c r="K209" s="238"/>
    </row>
    <row r="210" spans="1:11" ht="32.1" customHeight="1">
      <c r="A210" s="344"/>
      <c r="B210" s="1370"/>
      <c r="C210" s="265"/>
      <c r="D210" s="1387"/>
      <c r="E210" s="1388"/>
      <c r="F210" s="1389"/>
      <c r="G210" s="238"/>
      <c r="H210" s="238"/>
      <c r="I210" s="238"/>
      <c r="J210" s="238"/>
      <c r="K210" s="238"/>
    </row>
    <row r="211" spans="1:11">
      <c r="A211" s="344"/>
      <c r="B211" s="1370"/>
      <c r="C211" s="265"/>
      <c r="D211" s="1357" t="s">
        <v>124</v>
      </c>
      <c r="E211" s="1358"/>
      <c r="F211" s="1359"/>
      <c r="G211" s="238"/>
      <c r="H211" s="238"/>
      <c r="I211" s="238"/>
      <c r="J211" s="238"/>
      <c r="K211" s="238"/>
    </row>
    <row r="212" spans="1:11">
      <c r="A212" s="344"/>
      <c r="B212" s="1370"/>
      <c r="C212" s="265"/>
      <c r="D212" s="1357" t="s">
        <v>125</v>
      </c>
      <c r="E212" s="1358"/>
      <c r="F212" s="1359"/>
      <c r="G212" s="238"/>
      <c r="H212" s="238"/>
      <c r="I212" s="238"/>
      <c r="J212" s="238"/>
      <c r="K212" s="238"/>
    </row>
    <row r="213" spans="1:11">
      <c r="A213" s="344"/>
      <c r="B213" s="1370"/>
      <c r="C213" s="265"/>
      <c r="D213" s="1357" t="s">
        <v>126</v>
      </c>
      <c r="E213" s="1358"/>
      <c r="F213" s="1359"/>
      <c r="G213" s="238"/>
      <c r="H213" s="238"/>
      <c r="I213" s="238"/>
      <c r="J213" s="238"/>
      <c r="K213" s="238"/>
    </row>
    <row r="214" spans="1:11" ht="15.75" thickBot="1">
      <c r="A214" s="344"/>
      <c r="B214" s="1371"/>
      <c r="C214" s="275"/>
      <c r="D214" s="1384" t="s">
        <v>127</v>
      </c>
      <c r="E214" s="1385"/>
      <c r="F214" s="1386"/>
      <c r="G214" s="238"/>
      <c r="H214" s="238"/>
      <c r="I214" s="238"/>
      <c r="J214" s="238"/>
      <c r="K214" s="238"/>
    </row>
  </sheetData>
  <sheetProtection insertRows="0"/>
  <mergeCells count="105">
    <mergeCell ref="A5:P5"/>
    <mergeCell ref="A1:P1"/>
    <mergeCell ref="A2:P2"/>
    <mergeCell ref="A3:P3"/>
    <mergeCell ref="A4:D4"/>
    <mergeCell ref="B10:D10"/>
    <mergeCell ref="A11:D11"/>
    <mergeCell ref="E12:P12"/>
    <mergeCell ref="F10:P10"/>
    <mergeCell ref="F11:P11"/>
    <mergeCell ref="E13:P13"/>
    <mergeCell ref="B12:D12"/>
    <mergeCell ref="D210:F210"/>
    <mergeCell ref="D211:F211"/>
    <mergeCell ref="D212:F212"/>
    <mergeCell ref="D213:F213"/>
    <mergeCell ref="D206:F206"/>
    <mergeCell ref="D180:F180"/>
    <mergeCell ref="D187:F187"/>
    <mergeCell ref="D188:F188"/>
    <mergeCell ref="D193:F193"/>
    <mergeCell ref="D194:F194"/>
    <mergeCell ref="D199:F199"/>
    <mergeCell ref="D200:F200"/>
    <mergeCell ref="D201:F201"/>
    <mergeCell ref="D203:F203"/>
    <mergeCell ref="D204:F204"/>
    <mergeCell ref="D205:F205"/>
    <mergeCell ref="D174:F174"/>
    <mergeCell ref="D175:F175"/>
    <mergeCell ref="D176:F176"/>
    <mergeCell ref="D177:F177"/>
    <mergeCell ref="D178:F178"/>
    <mergeCell ref="D179:F179"/>
    <mergeCell ref="D165:F165"/>
    <mergeCell ref="D166:F166"/>
    <mergeCell ref="B167:B214"/>
    <mergeCell ref="D167:F167"/>
    <mergeCell ref="D168:F168"/>
    <mergeCell ref="D169:F169"/>
    <mergeCell ref="D170:F170"/>
    <mergeCell ref="D171:F171"/>
    <mergeCell ref="D172:F172"/>
    <mergeCell ref="D173:F173"/>
    <mergeCell ref="B149:B166"/>
    <mergeCell ref="D149:F149"/>
    <mergeCell ref="D150:F150"/>
    <mergeCell ref="D151:F151"/>
    <mergeCell ref="D152:F152"/>
    <mergeCell ref="D214:F214"/>
    <mergeCell ref="D208:F208"/>
    <mergeCell ref="D209:F209"/>
    <mergeCell ref="D148:F148"/>
    <mergeCell ref="D164:F164"/>
    <mergeCell ref="D153:F153"/>
    <mergeCell ref="D154:F154"/>
    <mergeCell ref="D155:F155"/>
    <mergeCell ref="D156:F156"/>
    <mergeCell ref="D157:F157"/>
    <mergeCell ref="D158:F158"/>
    <mergeCell ref="D159:F159"/>
    <mergeCell ref="D160:F160"/>
    <mergeCell ref="D161:F161"/>
    <mergeCell ref="D162:F162"/>
    <mergeCell ref="D163:F163"/>
    <mergeCell ref="D135:F135"/>
    <mergeCell ref="B136:B147"/>
    <mergeCell ref="D136:F136"/>
    <mergeCell ref="D137:F137"/>
    <mergeCell ref="D138:F138"/>
    <mergeCell ref="D139:F139"/>
    <mergeCell ref="D140:F140"/>
    <mergeCell ref="D141:F141"/>
    <mergeCell ref="D142:F142"/>
    <mergeCell ref="D143:F143"/>
    <mergeCell ref="D144:F144"/>
    <mergeCell ref="D145:F145"/>
    <mergeCell ref="D146:F146"/>
    <mergeCell ref="D147:F147"/>
    <mergeCell ref="B106:E106"/>
    <mergeCell ref="B107:B113"/>
    <mergeCell ref="B115:E115"/>
    <mergeCell ref="B116:B122"/>
    <mergeCell ref="B129:F130"/>
    <mergeCell ref="D99:E99"/>
    <mergeCell ref="D100:K100"/>
    <mergeCell ref="D101:K101"/>
    <mergeCell ref="D103:K103"/>
    <mergeCell ref="D104:K104"/>
    <mergeCell ref="B15:B21"/>
    <mergeCell ref="D94:K94"/>
    <mergeCell ref="D15:K15"/>
    <mergeCell ref="D22:K22"/>
    <mergeCell ref="D23:K23"/>
    <mergeCell ref="D38:K38"/>
    <mergeCell ref="D39:K39"/>
    <mergeCell ref="D40:K40"/>
    <mergeCell ref="D41:K41"/>
    <mergeCell ref="D42:K42"/>
    <mergeCell ref="D58:K58"/>
    <mergeCell ref="D59:K59"/>
    <mergeCell ref="D75:K75"/>
    <mergeCell ref="D76:K76"/>
    <mergeCell ref="D77:K77"/>
    <mergeCell ref="D93:K93"/>
  </mergeCells>
  <conditionalFormatting sqref="D99">
    <cfRule type="containsText" dxfId="141" priority="9" operator="containsText" text="ERROR">
      <formula>NOT(ISERROR(SEARCH("ERROR",D99)))</formula>
    </cfRule>
  </conditionalFormatting>
  <conditionalFormatting sqref="Q11:S11">
    <cfRule type="expression" dxfId="140" priority="5">
      <formula>P11="NO SE REPORTA"</formula>
    </cfRule>
    <cfRule type="expression" dxfId="139" priority="6">
      <formula>P10="NO APLICA"</formula>
    </cfRule>
  </conditionalFormatting>
  <conditionalFormatting sqref="E12 Q12:R12">
    <cfRule type="expression" dxfId="138" priority="2">
      <formula>E11="SI SE REPORTA"</formula>
    </cfRule>
  </conditionalFormatting>
  <dataValidations count="7">
    <dataValidation type="decimal" allowBlank="1" showInputMessage="1" showErrorMessage="1" errorTitle="ERROR" error="Escriba un valor entre 0% y 100%" sqref="E96:F98 G61:J74 G44:J57">
      <formula1>0</formula1>
      <formula2>1</formula2>
    </dataValidation>
    <dataValidation type="whole" operator="greaterThanOrEqual" allowBlank="1" showErrorMessage="1" errorTitle="ERROR" error="Escriba un número igual o mayor que 0" promptTitle="ERROR" prompt="Escriba un número igual o mayor que 0" sqref="E16:E21">
      <formula1>0</formula1>
    </dataValidation>
    <dataValidation type="textLength" allowBlank="1" showInputMessage="1" showErrorMessage="1" errorTitle="ERROR" error="Escriba POMCA, PMM o PMA" promptTitle="ESCRIBA" prompt="POMCA, PMA o PMM" sqref="D44:D57 D25:D37">
      <formula1>1</formula1>
      <formula2>5</formula2>
    </dataValidation>
    <dataValidation type="whole" operator="greaterThanOrEqual" allowBlank="1" showInputMessage="1" showErrorMessage="1" errorTitle="ERROR" error="Valor en HECTAREAS (sin decimales)_x000a_" sqref="G28:G30 G32:G37">
      <formula1>0</formula1>
    </dataValidation>
    <dataValidation type="list" allowBlank="1" showInputMessage="1" showErrorMessage="1" sqref="E10">
      <formula1>SI</formula1>
    </dataValidation>
    <dataValidation type="list" allowBlank="1" showInputMessage="1" showErrorMessage="1" sqref="E11">
      <formula1>REPORTE</formula1>
    </dataValidation>
    <dataValidation allowBlank="1" showInputMessage="1" showErrorMessage="1" promptTitle="ESTADO" prompt="Procesos formales previos_x000a_Aprestamiento_x000a_Diagnóstico_x000a_Prospectiva y Zonificación Ambiental_x000a_Formulación_x000a_Aprobado" sqref="H25:H37"/>
  </dataValidations>
  <hyperlinks>
    <hyperlink ref="B9" location="'ANEXO 3'!A1" display="VOLVER AL INDICE"/>
    <hyperlink ref="E111" r:id="rId1"/>
  </hyperlinks>
  <pageMargins left="0.25" right="0.25" top="0.75" bottom="0.75" header="0.3" footer="0.3"/>
  <pageSetup paperSize="178" orientation="landscape" horizontalDpi="1200" verticalDpi="120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76"/>
  <sheetViews>
    <sheetView showGridLines="0" zoomScale="98" zoomScaleNormal="98" workbookViewId="0">
      <selection activeCell="G16" sqref="G16"/>
    </sheetView>
  </sheetViews>
  <sheetFormatPr baseColWidth="10" defaultRowHeight="15"/>
  <cols>
    <col min="1" max="1" width="1.85546875" customWidth="1"/>
    <col min="2" max="2" width="12.85546875" customWidth="1"/>
    <col min="3" max="3" width="6.140625" style="86" bestFit="1" customWidth="1"/>
    <col min="4" max="4" width="34.85546875" customWidth="1"/>
    <col min="5" max="5" width="13.5703125" customWidth="1"/>
  </cols>
  <sheetData>
    <row r="1" spans="1:21" s="490" customFormat="1" ht="100.5" customHeight="1" thickBot="1">
      <c r="A1" s="1334"/>
      <c r="B1" s="1335"/>
      <c r="C1" s="1335"/>
      <c r="D1" s="1335"/>
      <c r="E1" s="1335"/>
      <c r="F1" s="1335"/>
      <c r="G1" s="1335"/>
      <c r="H1" s="1335"/>
      <c r="I1" s="1335"/>
      <c r="J1" s="1335"/>
      <c r="K1" s="1335"/>
      <c r="L1" s="1335"/>
      <c r="M1" s="1335"/>
      <c r="N1" s="1335"/>
      <c r="O1" s="1335"/>
      <c r="P1" s="1336"/>
      <c r="Q1" s="389"/>
      <c r="R1" s="389"/>
    </row>
    <row r="2" spans="1:21" s="491" customFormat="1" ht="16.5" thickBot="1">
      <c r="A2" s="1342" t="str">
        <f>'Datos Generales'!C5</f>
        <v>Corporación Autónoma Regional del Cesar – CORPOCESAR</v>
      </c>
      <c r="B2" s="1343"/>
      <c r="C2" s="1343"/>
      <c r="D2" s="1343"/>
      <c r="E2" s="1343"/>
      <c r="F2" s="1343"/>
      <c r="G2" s="1343"/>
      <c r="H2" s="1343"/>
      <c r="I2" s="1343"/>
      <c r="J2" s="1343"/>
      <c r="K2" s="1343"/>
      <c r="L2" s="1343"/>
      <c r="M2" s="1343"/>
      <c r="N2" s="1343"/>
      <c r="O2" s="1343"/>
      <c r="P2" s="1344"/>
      <c r="Q2" s="389"/>
      <c r="R2" s="389"/>
    </row>
    <row r="3" spans="1:21" s="491" customFormat="1" ht="16.5" thickBot="1">
      <c r="A3" s="1337" t="s">
        <v>1294</v>
      </c>
      <c r="B3" s="1338"/>
      <c r="C3" s="1338"/>
      <c r="D3" s="1338"/>
      <c r="E3" s="1338"/>
      <c r="F3" s="1338"/>
      <c r="G3" s="1338"/>
      <c r="H3" s="1338"/>
      <c r="I3" s="1338"/>
      <c r="J3" s="1338"/>
      <c r="K3" s="1338"/>
      <c r="L3" s="1338"/>
      <c r="M3" s="1338"/>
      <c r="N3" s="1338"/>
      <c r="O3" s="1338"/>
      <c r="P3" s="1339"/>
      <c r="Q3" s="389"/>
      <c r="R3" s="389"/>
    </row>
    <row r="4" spans="1:21" s="491" customFormat="1" ht="16.5" thickBot="1">
      <c r="A4" s="1340" t="s">
        <v>1293</v>
      </c>
      <c r="B4" s="1341"/>
      <c r="C4" s="1341"/>
      <c r="D4" s="1341"/>
      <c r="E4" s="498">
        <v>2022</v>
      </c>
      <c r="F4" s="498"/>
      <c r="G4" s="498"/>
      <c r="H4" s="498"/>
      <c r="I4" s="498"/>
      <c r="J4" s="498"/>
      <c r="K4" s="498"/>
      <c r="L4" s="499"/>
      <c r="M4" s="499"/>
      <c r="N4" s="499"/>
      <c r="O4" s="499"/>
      <c r="P4" s="500"/>
      <c r="Q4" s="389"/>
      <c r="R4" s="389"/>
    </row>
    <row r="5" spans="1:21" s="235" customFormat="1" ht="16.5" customHeight="1" thickBot="1">
      <c r="A5" s="1337" t="s">
        <v>131</v>
      </c>
      <c r="B5" s="1338"/>
      <c r="C5" s="1338"/>
      <c r="D5" s="1338"/>
      <c r="E5" s="1338"/>
      <c r="F5" s="1338"/>
      <c r="G5" s="1338"/>
      <c r="H5" s="1338"/>
      <c r="I5" s="1338"/>
      <c r="J5" s="1338"/>
      <c r="K5" s="1338"/>
      <c r="L5" s="1338"/>
      <c r="M5" s="1338"/>
      <c r="N5" s="1338"/>
      <c r="O5" s="1338"/>
      <c r="P5" s="1339"/>
    </row>
    <row r="6" spans="1:21">
      <c r="A6" s="235"/>
      <c r="B6" s="239" t="s">
        <v>1</v>
      </c>
      <c r="C6" s="240"/>
      <c r="D6" s="238"/>
      <c r="E6" s="248"/>
      <c r="F6" s="238" t="s">
        <v>128</v>
      </c>
      <c r="G6" s="238"/>
      <c r="H6" s="238"/>
      <c r="I6" s="238"/>
      <c r="J6" s="238"/>
      <c r="K6" s="238"/>
    </row>
    <row r="7" spans="1:21" ht="15.75" thickBot="1">
      <c r="A7" s="235"/>
      <c r="B7" s="241"/>
      <c r="C7" s="249"/>
      <c r="D7" s="238"/>
      <c r="E7" s="243"/>
      <c r="F7" s="238" t="s">
        <v>129</v>
      </c>
      <c r="G7" s="238"/>
      <c r="H7" s="238"/>
      <c r="I7" s="238"/>
      <c r="J7" s="238"/>
      <c r="K7" s="238"/>
    </row>
    <row r="8" spans="1:21" ht="15.75" thickBot="1">
      <c r="A8" s="235"/>
      <c r="B8" s="250" t="s">
        <v>1181</v>
      </c>
      <c r="C8" s="251">
        <v>2022</v>
      </c>
      <c r="D8" s="252" t="s">
        <v>1234</v>
      </c>
      <c r="E8" s="253"/>
      <c r="F8" s="238" t="s">
        <v>130</v>
      </c>
      <c r="G8" s="238"/>
      <c r="H8" s="238"/>
      <c r="I8" s="238"/>
      <c r="J8" s="238"/>
      <c r="K8" s="238"/>
    </row>
    <row r="9" spans="1:21">
      <c r="A9" s="235"/>
      <c r="B9" s="462" t="s">
        <v>1182</v>
      </c>
      <c r="C9" s="254"/>
      <c r="D9" s="255"/>
      <c r="E9" s="238"/>
      <c r="F9" s="238"/>
      <c r="G9" s="238"/>
      <c r="H9" s="238"/>
      <c r="I9" s="238"/>
      <c r="J9" s="238"/>
      <c r="K9" s="238"/>
    </row>
    <row r="10" spans="1:21" s="389" customFormat="1" ht="15" customHeight="1">
      <c r="A10" s="235"/>
      <c r="B10" s="1392" t="s">
        <v>1236</v>
      </c>
      <c r="C10" s="1392"/>
      <c r="D10" s="1392"/>
      <c r="E10" s="468" t="s">
        <v>1233</v>
      </c>
      <c r="F10" s="1398" t="s">
        <v>2095</v>
      </c>
      <c r="G10" s="1398"/>
      <c r="H10" s="1398"/>
      <c r="I10" s="1398"/>
      <c r="J10" s="1398"/>
      <c r="K10" s="1398"/>
      <c r="L10" s="1398"/>
      <c r="M10" s="1398"/>
      <c r="N10" s="1398"/>
      <c r="O10" s="1398"/>
      <c r="P10" s="1398"/>
      <c r="Q10" s="1398"/>
      <c r="R10" s="1398"/>
      <c r="S10" s="1398"/>
      <c r="T10" s="1398"/>
      <c r="U10" s="464"/>
    </row>
    <row r="11" spans="1:21" s="389" customFormat="1" ht="24" customHeight="1">
      <c r="A11" s="235"/>
      <c r="B11" s="1405" t="s">
        <v>2097</v>
      </c>
      <c r="C11" s="1405"/>
      <c r="D11" s="1406"/>
      <c r="E11" s="469" t="s">
        <v>1234</v>
      </c>
      <c r="F11" s="1410" t="s">
        <v>2104</v>
      </c>
      <c r="G11" s="1410"/>
      <c r="H11" s="1410"/>
      <c r="I11" s="1410"/>
      <c r="J11" s="1410"/>
      <c r="K11" s="1410"/>
      <c r="L11" s="1410"/>
      <c r="M11" s="1410"/>
      <c r="N11" s="1410"/>
      <c r="O11" s="1410"/>
      <c r="P11" s="1410"/>
      <c r="Q11" s="1410"/>
      <c r="R11" s="1410"/>
      <c r="S11" s="1410"/>
      <c r="T11" s="1410"/>
    </row>
    <row r="12" spans="1:21" s="389" customFormat="1" ht="23.45" customHeight="1">
      <c r="A12" s="235"/>
      <c r="B12" s="1407" t="s">
        <v>2096</v>
      </c>
      <c r="C12" s="1407"/>
      <c r="D12" s="1408"/>
      <c r="E12" s="1398" t="s">
        <v>2105</v>
      </c>
      <c r="F12" s="1398"/>
      <c r="G12" s="1398"/>
      <c r="H12" s="1398"/>
      <c r="I12" s="1398"/>
      <c r="J12" s="1398"/>
      <c r="K12" s="1398"/>
      <c r="L12" s="1398"/>
      <c r="M12" s="1398"/>
      <c r="N12" s="1398"/>
      <c r="O12" s="1398"/>
      <c r="P12" s="1398"/>
      <c r="Q12" s="1398"/>
      <c r="R12" s="1398"/>
      <c r="S12" s="1398"/>
      <c r="T12" s="1398"/>
    </row>
    <row r="13" spans="1:21" s="389" customFormat="1" ht="21.95" customHeight="1">
      <c r="A13" s="235"/>
      <c r="B13" s="462"/>
      <c r="C13" s="292"/>
      <c r="D13" s="467" t="s">
        <v>1238</v>
      </c>
      <c r="E13" s="1409"/>
      <c r="F13" s="1409"/>
      <c r="G13" s="1409"/>
      <c r="H13" s="1409"/>
      <c r="I13" s="1409"/>
      <c r="J13" s="1409"/>
      <c r="K13" s="1409"/>
      <c r="L13" s="1409"/>
      <c r="M13" s="1409"/>
      <c r="N13" s="1409"/>
      <c r="O13" s="1409"/>
      <c r="P13" s="1409"/>
      <c r="Q13" s="1409"/>
      <c r="R13" s="1409"/>
      <c r="S13" s="1409"/>
      <c r="T13" s="1409"/>
    </row>
    <row r="14" spans="1:21" s="389" customFormat="1" ht="6.95" customHeight="1" thickBot="1">
      <c r="A14" s="235"/>
      <c r="B14" s="462"/>
      <c r="C14" s="254"/>
      <c r="D14" s="255"/>
      <c r="E14" s="238"/>
      <c r="F14" s="238"/>
      <c r="G14" s="238"/>
      <c r="H14" s="238"/>
      <c r="I14" s="238"/>
      <c r="J14" s="238"/>
      <c r="K14" s="238"/>
    </row>
    <row r="15" spans="1:21" ht="15.75" thickBot="1">
      <c r="A15" s="235"/>
      <c r="B15" s="1369" t="s">
        <v>2</v>
      </c>
      <c r="C15" s="257"/>
      <c r="D15" s="1351" t="s">
        <v>3</v>
      </c>
      <c r="E15" s="1352"/>
      <c r="F15" s="1352"/>
      <c r="G15" s="1352"/>
      <c r="H15" s="1352"/>
      <c r="I15" s="1352"/>
      <c r="J15" s="1353"/>
      <c r="K15" s="238"/>
    </row>
    <row r="16" spans="1:21" ht="36.75" thickBot="1">
      <c r="A16" s="235"/>
      <c r="B16" s="1370"/>
      <c r="C16" s="261"/>
      <c r="D16" s="262" t="s">
        <v>148</v>
      </c>
      <c r="E16" s="208">
        <v>15</v>
      </c>
      <c r="F16" s="238"/>
      <c r="G16" s="238"/>
      <c r="H16" s="238"/>
      <c r="I16" s="238"/>
      <c r="J16" s="263"/>
      <c r="K16" s="238"/>
    </row>
    <row r="17" spans="1:11" ht="48.75" thickBot="1">
      <c r="A17" s="235"/>
      <c r="B17" s="1370"/>
      <c r="C17" s="261"/>
      <c r="D17" s="264" t="s">
        <v>2098</v>
      </c>
      <c r="E17" s="208">
        <v>15</v>
      </c>
      <c r="F17" s="238"/>
      <c r="G17" s="238"/>
      <c r="H17" s="238"/>
      <c r="I17" s="238"/>
      <c r="J17" s="263"/>
      <c r="K17" s="238"/>
    </row>
    <row r="18" spans="1:11" ht="48.75" thickBot="1">
      <c r="A18" s="235"/>
      <c r="B18" s="1370"/>
      <c r="C18" s="261"/>
      <c r="D18" s="264" t="s">
        <v>149</v>
      </c>
      <c r="E18" s="208">
        <v>1</v>
      </c>
      <c r="F18" s="238"/>
      <c r="G18" s="238"/>
      <c r="H18" s="238"/>
      <c r="I18" s="238"/>
      <c r="J18" s="263"/>
      <c r="K18" s="238"/>
    </row>
    <row r="19" spans="1:11" ht="15.75" thickBot="1">
      <c r="A19" s="235"/>
      <c r="B19" s="1370"/>
      <c r="C19" s="265"/>
      <c r="D19" s="1381"/>
      <c r="E19" s="1382"/>
      <c r="F19" s="1382"/>
      <c r="G19" s="1382"/>
      <c r="H19" s="1382"/>
      <c r="I19" s="1382"/>
      <c r="J19" s="1383"/>
      <c r="K19" s="238"/>
    </row>
    <row r="20" spans="1:11" ht="15.75" thickBot="1">
      <c r="A20" s="235"/>
      <c r="B20" s="1370"/>
      <c r="C20" s="268" t="s">
        <v>19</v>
      </c>
      <c r="D20" s="262" t="s">
        <v>150</v>
      </c>
      <c r="E20" s="269" t="s">
        <v>20</v>
      </c>
      <c r="F20" s="269" t="s">
        <v>21</v>
      </c>
      <c r="G20" s="269" t="s">
        <v>22</v>
      </c>
      <c r="H20" s="269" t="s">
        <v>23</v>
      </c>
      <c r="I20" s="269" t="s">
        <v>151</v>
      </c>
      <c r="J20" s="111"/>
      <c r="K20" s="238"/>
    </row>
    <row r="21" spans="1:11" ht="36.75" thickBot="1">
      <c r="A21" s="235"/>
      <c r="B21" s="1370"/>
      <c r="C21" s="271" t="s">
        <v>152</v>
      </c>
      <c r="D21" s="264" t="s">
        <v>153</v>
      </c>
      <c r="E21" s="208">
        <v>0</v>
      </c>
      <c r="F21" s="208">
        <v>0</v>
      </c>
      <c r="G21" s="208">
        <v>1</v>
      </c>
      <c r="H21" s="208">
        <v>1</v>
      </c>
      <c r="I21" s="272">
        <f>SUM(E21:H21)</f>
        <v>2</v>
      </c>
      <c r="J21" s="112"/>
      <c r="K21" s="238"/>
    </row>
    <row r="22" spans="1:11" ht="36.75" thickBot="1">
      <c r="A22" s="235"/>
      <c r="B22" s="1370"/>
      <c r="C22" s="271" t="s">
        <v>154</v>
      </c>
      <c r="D22" s="264" t="s">
        <v>155</v>
      </c>
      <c r="E22" s="208">
        <v>0</v>
      </c>
      <c r="F22" s="208">
        <v>0</v>
      </c>
      <c r="G22" s="208">
        <v>0</v>
      </c>
      <c r="H22" s="208"/>
      <c r="I22" s="272">
        <f>SUM(E22:H22)</f>
        <v>0</v>
      </c>
      <c r="J22" s="112"/>
      <c r="K22" s="238"/>
    </row>
    <row r="23" spans="1:11" ht="36.75" thickBot="1">
      <c r="A23" s="235"/>
      <c r="B23" s="1371"/>
      <c r="C23" s="271" t="s">
        <v>156</v>
      </c>
      <c r="D23" s="264" t="s">
        <v>157</v>
      </c>
      <c r="E23" s="189" t="str">
        <f>IFERROR(E22/E21,"N.A.")</f>
        <v>N.A.</v>
      </c>
      <c r="F23" s="189" t="str">
        <f>IFERROR(F22/F21,"N.A.")</f>
        <v>N.A.</v>
      </c>
      <c r="G23" s="189">
        <f>IFERROR(G22/G21,"N.A.")</f>
        <v>0</v>
      </c>
      <c r="H23" s="189">
        <f>IFERROR(H22/H21,"N.A.")</f>
        <v>0</v>
      </c>
      <c r="I23" s="189">
        <f>IFERROR(I22/I21,"N.A.")</f>
        <v>0</v>
      </c>
      <c r="J23" s="113"/>
      <c r="K23" s="238"/>
    </row>
    <row r="24" spans="1:11" ht="15.75" thickBot="1">
      <c r="A24" s="235"/>
      <c r="B24" s="274" t="s">
        <v>34</v>
      </c>
      <c r="C24" s="275"/>
      <c r="D24" s="1378" t="s">
        <v>158</v>
      </c>
      <c r="E24" s="1379"/>
      <c r="F24" s="1379"/>
      <c r="G24" s="1379"/>
      <c r="H24" s="1379"/>
      <c r="I24" s="1379"/>
      <c r="J24" s="1380"/>
      <c r="K24" s="238"/>
    </row>
    <row r="25" spans="1:11" ht="24.75" thickBot="1">
      <c r="A25" s="235"/>
      <c r="B25" s="274" t="s">
        <v>36</v>
      </c>
      <c r="C25" s="275"/>
      <c r="D25" s="1378" t="s">
        <v>159</v>
      </c>
      <c r="E25" s="1379"/>
      <c r="F25" s="1379"/>
      <c r="G25" s="1379"/>
      <c r="H25" s="1379"/>
      <c r="I25" s="1379"/>
      <c r="J25" s="1380"/>
      <c r="K25" s="238"/>
    </row>
    <row r="26" spans="1:11" ht="15.75" thickBot="1">
      <c r="A26" s="235"/>
      <c r="B26" s="239"/>
      <c r="C26" s="240"/>
      <c r="D26" s="238"/>
      <c r="E26" s="238"/>
      <c r="F26" s="238"/>
      <c r="G26" s="238"/>
      <c r="H26" s="238"/>
      <c r="I26" s="238"/>
      <c r="J26" s="238"/>
      <c r="K26" s="238"/>
    </row>
    <row r="27" spans="1:11" ht="24" customHeight="1" thickBot="1">
      <c r="A27" s="235"/>
      <c r="B27" s="1366" t="s">
        <v>38</v>
      </c>
      <c r="C27" s="1367"/>
      <c r="D27" s="1367"/>
      <c r="E27" s="1368"/>
      <c r="F27" s="238"/>
      <c r="G27" s="238"/>
      <c r="H27" s="238"/>
      <c r="I27" s="238"/>
      <c r="J27" s="238"/>
      <c r="K27" s="238"/>
    </row>
    <row r="28" spans="1:11" ht="15.75" thickBot="1">
      <c r="A28" s="235"/>
      <c r="B28" s="1369">
        <v>1</v>
      </c>
      <c r="C28" s="261"/>
      <c r="D28" s="278" t="s">
        <v>39</v>
      </c>
      <c r="E28" s="554"/>
      <c r="F28" s="238"/>
      <c r="G28" s="238"/>
      <c r="H28" s="238"/>
      <c r="I28" s="238"/>
      <c r="J28" s="238"/>
      <c r="K28" s="238"/>
    </row>
    <row r="29" spans="1:11" ht="36.75" thickBot="1">
      <c r="A29" s="235"/>
      <c r="B29" s="1370"/>
      <c r="C29" s="261"/>
      <c r="D29" s="264" t="s">
        <v>40</v>
      </c>
      <c r="E29" s="554" t="s">
        <v>1363</v>
      </c>
      <c r="F29" s="238"/>
      <c r="G29" s="238"/>
      <c r="H29" s="238"/>
      <c r="I29" s="238"/>
      <c r="J29" s="238"/>
      <c r="K29" s="238"/>
    </row>
    <row r="30" spans="1:11" ht="24.75" thickBot="1">
      <c r="A30" s="235"/>
      <c r="B30" s="1370"/>
      <c r="C30" s="261"/>
      <c r="D30" s="264" t="s">
        <v>41</v>
      </c>
      <c r="E30" s="554" t="s">
        <v>1364</v>
      </c>
      <c r="F30" s="238"/>
      <c r="G30" s="238"/>
      <c r="H30" s="238"/>
      <c r="I30" s="238"/>
      <c r="J30" s="238"/>
      <c r="K30" s="238"/>
    </row>
    <row r="31" spans="1:11" ht="24.75" thickBot="1">
      <c r="A31" s="235"/>
      <c r="B31" s="1370"/>
      <c r="C31" s="261"/>
      <c r="D31" s="264" t="s">
        <v>42</v>
      </c>
      <c r="E31" s="554" t="s">
        <v>1365</v>
      </c>
      <c r="F31" s="238"/>
      <c r="G31" s="238"/>
      <c r="H31" s="238"/>
      <c r="I31" s="238"/>
      <c r="J31" s="238"/>
      <c r="K31" s="238"/>
    </row>
    <row r="32" spans="1:11" ht="36.75" thickBot="1">
      <c r="A32" s="235"/>
      <c r="B32" s="1370"/>
      <c r="C32" s="261"/>
      <c r="D32" s="264" t="s">
        <v>43</v>
      </c>
      <c r="E32" s="554" t="s">
        <v>1366</v>
      </c>
      <c r="F32" s="238"/>
      <c r="G32" s="238"/>
      <c r="H32" s="238"/>
      <c r="I32" s="238"/>
      <c r="J32" s="238"/>
      <c r="K32" s="238"/>
    </row>
    <row r="33" spans="1:11" ht="15.75" thickBot="1">
      <c r="A33" s="235"/>
      <c r="B33" s="1370"/>
      <c r="C33" s="261"/>
      <c r="D33" s="264" t="s">
        <v>44</v>
      </c>
      <c r="E33" s="554">
        <v>5748960</v>
      </c>
      <c r="F33" s="238"/>
      <c r="G33" s="238"/>
      <c r="H33" s="238"/>
      <c r="I33" s="238"/>
      <c r="J33" s="238"/>
      <c r="K33" s="238"/>
    </row>
    <row r="34" spans="1:11" ht="36.75" thickBot="1">
      <c r="A34" s="235"/>
      <c r="B34" s="1371"/>
      <c r="C34" s="271"/>
      <c r="D34" s="264" t="s">
        <v>45</v>
      </c>
      <c r="E34" s="554" t="s">
        <v>1367</v>
      </c>
      <c r="F34" s="238"/>
      <c r="G34" s="238"/>
      <c r="H34" s="238"/>
      <c r="I34" s="238"/>
      <c r="J34" s="238"/>
      <c r="K34" s="238"/>
    </row>
    <row r="35" spans="1:11" ht="15.75" thickBot="1">
      <c r="A35" s="235"/>
      <c r="B35" s="239"/>
      <c r="C35" s="240"/>
      <c r="D35" s="238"/>
      <c r="E35" s="238"/>
      <c r="F35" s="238"/>
      <c r="G35" s="238"/>
      <c r="H35" s="238"/>
      <c r="I35" s="238"/>
      <c r="J35" s="238"/>
      <c r="K35" s="238"/>
    </row>
    <row r="36" spans="1:11" ht="15.75" thickBot="1">
      <c r="A36" s="235"/>
      <c r="B36" s="1366" t="s">
        <v>46</v>
      </c>
      <c r="C36" s="1367"/>
      <c r="D36" s="1367"/>
      <c r="E36" s="1368"/>
      <c r="F36" s="238"/>
      <c r="G36" s="238"/>
      <c r="H36" s="238"/>
      <c r="I36" s="238"/>
      <c r="J36" s="238"/>
      <c r="K36" s="238"/>
    </row>
    <row r="37" spans="1:11" ht="60.75" thickBot="1">
      <c r="A37" s="235"/>
      <c r="B37" s="1369">
        <v>1</v>
      </c>
      <c r="C37" s="261"/>
      <c r="D37" s="278" t="s">
        <v>39</v>
      </c>
      <c r="E37" s="578" t="s">
        <v>47</v>
      </c>
      <c r="F37" s="238"/>
      <c r="G37" s="238"/>
      <c r="H37" s="238"/>
      <c r="I37" s="238"/>
      <c r="J37" s="238"/>
      <c r="K37" s="238"/>
    </row>
    <row r="38" spans="1:11" ht="84.75" thickBot="1">
      <c r="A38" s="235"/>
      <c r="B38" s="1370"/>
      <c r="C38" s="261"/>
      <c r="D38" s="264" t="s">
        <v>40</v>
      </c>
      <c r="E38" s="578" t="s">
        <v>160</v>
      </c>
      <c r="F38" s="238"/>
      <c r="G38" s="238"/>
      <c r="H38" s="238"/>
      <c r="I38" s="238"/>
      <c r="J38" s="238"/>
      <c r="K38" s="238"/>
    </row>
    <row r="39" spans="1:11" ht="15.75" thickBot="1">
      <c r="A39" s="235"/>
      <c r="B39" s="1370"/>
      <c r="C39" s="261"/>
      <c r="D39" s="264" t="s">
        <v>41</v>
      </c>
      <c r="E39" s="291"/>
      <c r="F39" s="238"/>
      <c r="G39" s="238"/>
      <c r="H39" s="238"/>
      <c r="I39" s="238"/>
      <c r="J39" s="238"/>
      <c r="K39" s="238"/>
    </row>
    <row r="40" spans="1:11" ht="15.75" thickBot="1">
      <c r="A40" s="235"/>
      <c r="B40" s="1370"/>
      <c r="C40" s="261"/>
      <c r="D40" s="264" t="s">
        <v>42</v>
      </c>
      <c r="E40" s="291"/>
      <c r="F40" s="238"/>
      <c r="G40" s="238"/>
      <c r="H40" s="238"/>
      <c r="I40" s="238"/>
      <c r="J40" s="238"/>
      <c r="K40" s="238"/>
    </row>
    <row r="41" spans="1:11" ht="15.75" thickBot="1">
      <c r="A41" s="235"/>
      <c r="B41" s="1370"/>
      <c r="C41" s="261"/>
      <c r="D41" s="264" t="s">
        <v>43</v>
      </c>
      <c r="E41" s="291"/>
      <c r="F41" s="238"/>
      <c r="G41" s="238"/>
      <c r="H41" s="238"/>
      <c r="I41" s="238"/>
      <c r="J41" s="238"/>
      <c r="K41" s="238"/>
    </row>
    <row r="42" spans="1:11" ht="15.75" thickBot="1">
      <c r="A42" s="235"/>
      <c r="B42" s="1370"/>
      <c r="C42" s="261"/>
      <c r="D42" s="264" t="s">
        <v>44</v>
      </c>
      <c r="E42" s="291"/>
      <c r="F42" s="238"/>
      <c r="G42" s="238"/>
      <c r="H42" s="238"/>
      <c r="I42" s="238"/>
      <c r="J42" s="238"/>
      <c r="K42" s="238"/>
    </row>
    <row r="43" spans="1:11" ht="15.75" thickBot="1">
      <c r="A43" s="235"/>
      <c r="B43" s="1371"/>
      <c r="C43" s="271"/>
      <c r="D43" s="264" t="s">
        <v>45</v>
      </c>
      <c r="E43" s="291"/>
      <c r="F43" s="238"/>
      <c r="G43" s="238"/>
      <c r="H43" s="238"/>
      <c r="I43" s="238"/>
      <c r="J43" s="238"/>
      <c r="K43" s="238"/>
    </row>
    <row r="44" spans="1:11" ht="15.75" thickBot="1">
      <c r="A44" s="235"/>
      <c r="B44" s="239"/>
      <c r="C44" s="240"/>
      <c r="D44" s="238"/>
      <c r="E44" s="238"/>
      <c r="F44" s="238"/>
      <c r="G44" s="238"/>
      <c r="H44" s="238"/>
      <c r="I44" s="238"/>
      <c r="J44" s="238"/>
      <c r="K44" s="238"/>
    </row>
    <row r="45" spans="1:11" ht="15" customHeight="1" thickBot="1">
      <c r="A45" s="235"/>
      <c r="B45" s="280" t="s">
        <v>49</v>
      </c>
      <c r="C45" s="281"/>
      <c r="D45" s="281"/>
      <c r="E45" s="281"/>
      <c r="F45" s="282"/>
      <c r="G45" s="238"/>
      <c r="H45" s="238"/>
      <c r="I45" s="238"/>
      <c r="J45" s="238"/>
      <c r="K45" s="238"/>
    </row>
    <row r="46" spans="1:11" ht="15.75" thickBot="1">
      <c r="A46" s="235"/>
      <c r="B46" s="274" t="s">
        <v>50</v>
      </c>
      <c r="C46" s="283" t="s">
        <v>51</v>
      </c>
      <c r="D46" s="283" t="s">
        <v>52</v>
      </c>
      <c r="E46" s="283" t="s">
        <v>53</v>
      </c>
      <c r="F46" s="238"/>
      <c r="G46" s="238"/>
      <c r="H46" s="238"/>
      <c r="I46" s="238"/>
      <c r="J46" s="238"/>
      <c r="K46" s="235"/>
    </row>
    <row r="47" spans="1:11" ht="72.75" thickBot="1">
      <c r="A47" s="235"/>
      <c r="B47" s="284">
        <v>42401</v>
      </c>
      <c r="C47" s="283">
        <v>0.01</v>
      </c>
      <c r="D47" s="285" t="s">
        <v>161</v>
      </c>
      <c r="E47" s="283"/>
      <c r="F47" s="238"/>
      <c r="G47" s="238"/>
      <c r="H47" s="238"/>
      <c r="I47" s="238"/>
      <c r="J47" s="238"/>
      <c r="K47" s="235"/>
    </row>
    <row r="48" spans="1:11" ht="15.75" thickBot="1">
      <c r="A48" s="235"/>
      <c r="B48" s="239"/>
      <c r="C48" s="240"/>
      <c r="D48" s="238"/>
      <c r="E48" s="238"/>
      <c r="F48" s="238"/>
      <c r="G48" s="238"/>
      <c r="H48" s="238"/>
      <c r="I48" s="238"/>
      <c r="J48" s="238"/>
      <c r="K48" s="238"/>
    </row>
    <row r="49" spans="1:11">
      <c r="A49" s="235"/>
      <c r="B49" s="286" t="s">
        <v>55</v>
      </c>
      <c r="C49" s="287"/>
      <c r="D49" s="238"/>
      <c r="E49" s="238"/>
      <c r="F49" s="238"/>
      <c r="G49" s="238"/>
      <c r="H49" s="238"/>
      <c r="I49" s="238"/>
      <c r="J49" s="238"/>
      <c r="K49" s="238"/>
    </row>
    <row r="50" spans="1:11">
      <c r="A50" s="235"/>
      <c r="B50" s="1399"/>
      <c r="C50" s="1400"/>
      <c r="D50" s="1400"/>
      <c r="E50" s="1400"/>
      <c r="F50" s="1400"/>
      <c r="G50" s="1400"/>
      <c r="H50" s="1400"/>
      <c r="I50" s="1400"/>
      <c r="J50" s="1401"/>
      <c r="K50" s="238"/>
    </row>
    <row r="51" spans="1:11">
      <c r="A51" s="235"/>
      <c r="B51" s="238"/>
      <c r="C51" s="254"/>
      <c r="D51" s="238"/>
      <c r="E51" s="238"/>
      <c r="F51" s="238"/>
      <c r="G51" s="238"/>
      <c r="H51" s="238"/>
      <c r="I51" s="238"/>
      <c r="J51" s="238"/>
      <c r="K51" s="238"/>
    </row>
    <row r="52" spans="1:11" ht="15.75" thickBot="1">
      <c r="A52" s="235"/>
      <c r="B52" s="238"/>
      <c r="C52" s="254"/>
      <c r="D52" s="238"/>
      <c r="E52" s="238"/>
      <c r="F52" s="238"/>
      <c r="G52" s="238"/>
      <c r="H52" s="238"/>
      <c r="I52" s="238"/>
      <c r="J52" s="238"/>
      <c r="K52" s="238"/>
    </row>
    <row r="53" spans="1:11" ht="15.75" thickBot="1">
      <c r="A53" s="235"/>
      <c r="B53" s="1366" t="s">
        <v>56</v>
      </c>
      <c r="C53" s="1367"/>
      <c r="D53" s="1368"/>
      <c r="E53" s="238"/>
      <c r="F53" s="238"/>
      <c r="G53" s="238"/>
      <c r="H53" s="238"/>
      <c r="I53" s="238"/>
      <c r="J53" s="238"/>
      <c r="K53" s="238"/>
    </row>
    <row r="54" spans="1:11" ht="15.75" thickBot="1">
      <c r="A54" s="235"/>
      <c r="B54" s="239"/>
      <c r="C54" s="240"/>
      <c r="D54" s="238"/>
      <c r="E54" s="238"/>
      <c r="F54" s="238"/>
      <c r="G54" s="238"/>
      <c r="H54" s="238"/>
      <c r="I54" s="238"/>
      <c r="J54" s="238"/>
      <c r="K54" s="238"/>
    </row>
    <row r="55" spans="1:11" ht="24" customHeight="1" thickBot="1">
      <c r="A55" s="235"/>
      <c r="B55" s="288" t="s">
        <v>57</v>
      </c>
      <c r="C55" s="289"/>
      <c r="D55" s="1378" t="s">
        <v>132</v>
      </c>
      <c r="E55" s="1379"/>
      <c r="F55" s="1379"/>
      <c r="G55" s="1379"/>
      <c r="H55" s="1379"/>
      <c r="I55" s="1379"/>
      <c r="J55" s="1380"/>
      <c r="K55" s="238"/>
    </row>
    <row r="56" spans="1:11">
      <c r="A56" s="235"/>
      <c r="B56" s="1369" t="s">
        <v>59</v>
      </c>
      <c r="C56" s="257"/>
      <c r="D56" s="1363" t="s">
        <v>60</v>
      </c>
      <c r="E56" s="1364"/>
      <c r="F56" s="1364"/>
      <c r="G56" s="1364"/>
      <c r="H56" s="1364"/>
      <c r="I56" s="1364"/>
      <c r="J56" s="1365"/>
      <c r="K56" s="238"/>
    </row>
    <row r="57" spans="1:11" ht="24" customHeight="1">
      <c r="A57" s="235"/>
      <c r="B57" s="1370"/>
      <c r="C57" s="265"/>
      <c r="D57" s="1357" t="s">
        <v>133</v>
      </c>
      <c r="E57" s="1402"/>
      <c r="F57" s="1402"/>
      <c r="G57" s="1402"/>
      <c r="H57" s="1402"/>
      <c r="I57" s="1402"/>
      <c r="J57" s="1359"/>
      <c r="K57" s="238"/>
    </row>
    <row r="58" spans="1:11">
      <c r="A58" s="235"/>
      <c r="B58" s="1370"/>
      <c r="C58" s="265"/>
      <c r="D58" s="1354" t="s">
        <v>134</v>
      </c>
      <c r="E58" s="1403"/>
      <c r="F58" s="1403"/>
      <c r="G58" s="1403"/>
      <c r="H58" s="1403"/>
      <c r="I58" s="1403"/>
      <c r="J58" s="1356"/>
      <c r="K58" s="238"/>
    </row>
    <row r="59" spans="1:11">
      <c r="A59" s="235"/>
      <c r="B59" s="1370"/>
      <c r="C59" s="265"/>
      <c r="D59" s="1357" t="s">
        <v>135</v>
      </c>
      <c r="E59" s="1402"/>
      <c r="F59" s="1402"/>
      <c r="G59" s="1402"/>
      <c r="H59" s="1402"/>
      <c r="I59" s="1402"/>
      <c r="J59" s="1359"/>
      <c r="K59" s="238"/>
    </row>
    <row r="60" spans="1:11">
      <c r="A60" s="235"/>
      <c r="B60" s="1370"/>
      <c r="C60" s="265"/>
      <c r="D60" s="1357" t="s">
        <v>136</v>
      </c>
      <c r="E60" s="1402"/>
      <c r="F60" s="1402"/>
      <c r="G60" s="1402"/>
      <c r="H60" s="1402"/>
      <c r="I60" s="1402"/>
      <c r="J60" s="1359"/>
      <c r="K60" s="238"/>
    </row>
    <row r="61" spans="1:11">
      <c r="A61" s="235"/>
      <c r="B61" s="1370"/>
      <c r="C61" s="265"/>
      <c r="D61" s="1357" t="s">
        <v>137</v>
      </c>
      <c r="E61" s="1402"/>
      <c r="F61" s="1402"/>
      <c r="G61" s="1402"/>
      <c r="H61" s="1402"/>
      <c r="I61" s="1402"/>
      <c r="J61" s="1359"/>
      <c r="K61" s="238"/>
    </row>
    <row r="62" spans="1:11" ht="24" customHeight="1">
      <c r="A62" s="235"/>
      <c r="B62" s="1370"/>
      <c r="C62" s="265"/>
      <c r="D62" s="1357" t="s">
        <v>138</v>
      </c>
      <c r="E62" s="1402"/>
      <c r="F62" s="1402"/>
      <c r="G62" s="1402"/>
      <c r="H62" s="1402"/>
      <c r="I62" s="1402"/>
      <c r="J62" s="1359"/>
      <c r="K62" s="238"/>
    </row>
    <row r="63" spans="1:11" ht="24" customHeight="1">
      <c r="A63" s="235"/>
      <c r="B63" s="1370"/>
      <c r="C63" s="265"/>
      <c r="D63" s="1357" t="s">
        <v>139</v>
      </c>
      <c r="E63" s="1402"/>
      <c r="F63" s="1402"/>
      <c r="G63" s="1402"/>
      <c r="H63" s="1402"/>
      <c r="I63" s="1402"/>
      <c r="J63" s="1359"/>
      <c r="K63" s="238"/>
    </row>
    <row r="64" spans="1:11">
      <c r="A64" s="235"/>
      <c r="B64" s="1370"/>
      <c r="C64" s="265"/>
      <c r="D64" s="1357" t="s">
        <v>140</v>
      </c>
      <c r="E64" s="1402"/>
      <c r="F64" s="1402"/>
      <c r="G64" s="1402"/>
      <c r="H64" s="1402"/>
      <c r="I64" s="1402"/>
      <c r="J64" s="1359"/>
      <c r="K64" s="238"/>
    </row>
    <row r="65" spans="1:11">
      <c r="A65" s="235"/>
      <c r="B65" s="1370"/>
      <c r="C65" s="265"/>
      <c r="D65" s="1354" t="s">
        <v>141</v>
      </c>
      <c r="E65" s="1403"/>
      <c r="F65" s="1403"/>
      <c r="G65" s="1403"/>
      <c r="H65" s="1403"/>
      <c r="I65" s="1403"/>
      <c r="J65" s="1356"/>
      <c r="K65" s="238"/>
    </row>
    <row r="66" spans="1:11" ht="15.75" thickBot="1">
      <c r="A66" s="235"/>
      <c r="B66" s="1371"/>
      <c r="C66" s="275"/>
      <c r="D66" s="1381" t="s">
        <v>142</v>
      </c>
      <c r="E66" s="1382"/>
      <c r="F66" s="1382"/>
      <c r="G66" s="1382"/>
      <c r="H66" s="1382"/>
      <c r="I66" s="1382"/>
      <c r="J66" s="1383"/>
      <c r="K66" s="238"/>
    </row>
    <row r="67" spans="1:11" ht="24.75" thickBot="1">
      <c r="A67" s="235"/>
      <c r="B67" s="274" t="s">
        <v>72</v>
      </c>
      <c r="C67" s="275"/>
      <c r="D67" s="1378"/>
      <c r="E67" s="1379"/>
      <c r="F67" s="1379"/>
      <c r="G67" s="1379"/>
      <c r="H67" s="1379"/>
      <c r="I67" s="1379"/>
      <c r="J67" s="1380"/>
      <c r="K67" s="238"/>
    </row>
    <row r="68" spans="1:11" ht="24.75" thickBot="1">
      <c r="A68" s="235"/>
      <c r="B68" s="274" t="s">
        <v>73</v>
      </c>
      <c r="C68" s="275"/>
      <c r="D68" s="1378" t="s">
        <v>143</v>
      </c>
      <c r="E68" s="1379"/>
      <c r="F68" s="1379"/>
      <c r="G68" s="1379"/>
      <c r="H68" s="1379"/>
      <c r="I68" s="1379"/>
      <c r="J68" s="1380"/>
      <c r="K68" s="238"/>
    </row>
    <row r="69" spans="1:11">
      <c r="A69" s="235"/>
      <c r="B69" s="1369" t="s">
        <v>90</v>
      </c>
      <c r="C69" s="257"/>
      <c r="D69" s="1351"/>
      <c r="E69" s="1352"/>
      <c r="F69" s="1352"/>
      <c r="G69" s="1352"/>
      <c r="H69" s="1352"/>
      <c r="I69" s="1352"/>
      <c r="J69" s="1353"/>
      <c r="K69" s="238"/>
    </row>
    <row r="70" spans="1:11">
      <c r="A70" s="235"/>
      <c r="B70" s="1370"/>
      <c r="C70" s="265"/>
      <c r="D70" s="1387"/>
      <c r="E70" s="1404"/>
      <c r="F70" s="1404"/>
      <c r="G70" s="1404"/>
      <c r="H70" s="1404"/>
      <c r="I70" s="1404"/>
      <c r="J70" s="1389"/>
      <c r="K70" s="238"/>
    </row>
    <row r="71" spans="1:11">
      <c r="A71" s="235"/>
      <c r="B71" s="1370"/>
      <c r="C71" s="265"/>
      <c r="D71" s="1357" t="s">
        <v>91</v>
      </c>
      <c r="E71" s="1402"/>
      <c r="F71" s="1402"/>
      <c r="G71" s="1402"/>
      <c r="H71" s="1402"/>
      <c r="I71" s="1402"/>
      <c r="J71" s="1359"/>
      <c r="K71" s="238"/>
    </row>
    <row r="72" spans="1:11" ht="26.45" customHeight="1">
      <c r="A72" s="235"/>
      <c r="B72" s="1370"/>
      <c r="C72" s="265"/>
      <c r="D72" s="1357" t="s">
        <v>144</v>
      </c>
      <c r="E72" s="1402"/>
      <c r="F72" s="1402"/>
      <c r="G72" s="1402"/>
      <c r="H72" s="1402"/>
      <c r="I72" s="1402"/>
      <c r="J72" s="1359"/>
      <c r="K72" s="238"/>
    </row>
    <row r="73" spans="1:11" ht="14.45" customHeight="1">
      <c r="A73" s="235"/>
      <c r="B73" s="1370"/>
      <c r="C73" s="265"/>
      <c r="D73" s="1357" t="s">
        <v>145</v>
      </c>
      <c r="E73" s="1402"/>
      <c r="F73" s="1402"/>
      <c r="G73" s="1402"/>
      <c r="H73" s="1402"/>
      <c r="I73" s="1402"/>
      <c r="J73" s="1359"/>
      <c r="K73" s="238"/>
    </row>
    <row r="74" spans="1:11" ht="14.45" customHeight="1">
      <c r="A74" s="235"/>
      <c r="B74" s="1370"/>
      <c r="C74" s="265"/>
      <c r="D74" s="1357" t="s">
        <v>146</v>
      </c>
      <c r="E74" s="1402"/>
      <c r="F74" s="1402"/>
      <c r="G74" s="1402"/>
      <c r="H74" s="1402"/>
      <c r="I74" s="1402"/>
      <c r="J74" s="1359"/>
      <c r="K74" s="238"/>
    </row>
    <row r="75" spans="1:11" ht="24" customHeight="1" thickBot="1">
      <c r="A75" s="235"/>
      <c r="B75" s="1371"/>
      <c r="C75" s="275"/>
      <c r="D75" s="1381" t="s">
        <v>147</v>
      </c>
      <c r="E75" s="1382"/>
      <c r="F75" s="1382"/>
      <c r="G75" s="1382"/>
      <c r="H75" s="1382"/>
      <c r="I75" s="1382"/>
      <c r="J75" s="1383"/>
      <c r="K75" s="238"/>
    </row>
    <row r="76" spans="1:11">
      <c r="A76" s="235"/>
      <c r="B76" s="238"/>
      <c r="C76" s="254"/>
      <c r="D76" s="238"/>
      <c r="E76" s="238"/>
      <c r="F76" s="238"/>
      <c r="G76" s="238"/>
      <c r="H76" s="238"/>
      <c r="I76" s="238"/>
      <c r="J76" s="238"/>
      <c r="K76" s="238"/>
    </row>
  </sheetData>
  <mergeCells count="46">
    <mergeCell ref="B11:D11"/>
    <mergeCell ref="B12:D12"/>
    <mergeCell ref="E13:T13"/>
    <mergeCell ref="F11:T11"/>
    <mergeCell ref="E12:T12"/>
    <mergeCell ref="A1:P1"/>
    <mergeCell ref="A2:P2"/>
    <mergeCell ref="A3:P3"/>
    <mergeCell ref="A4:D4"/>
    <mergeCell ref="A5:P5"/>
    <mergeCell ref="B28:B34"/>
    <mergeCell ref="B36:E36"/>
    <mergeCell ref="B37:B43"/>
    <mergeCell ref="B15:B23"/>
    <mergeCell ref="D15:J15"/>
    <mergeCell ref="D19:J19"/>
    <mergeCell ref="D24:J24"/>
    <mergeCell ref="D25:J25"/>
    <mergeCell ref="B27:E27"/>
    <mergeCell ref="D65:J65"/>
    <mergeCell ref="D66:J66"/>
    <mergeCell ref="D67:J67"/>
    <mergeCell ref="B69:B75"/>
    <mergeCell ref="D69:J69"/>
    <mergeCell ref="D70:J70"/>
    <mergeCell ref="D71:J71"/>
    <mergeCell ref="D72:J72"/>
    <mergeCell ref="D73:J73"/>
    <mergeCell ref="D74:J74"/>
    <mergeCell ref="D75:J75"/>
    <mergeCell ref="B10:D10"/>
    <mergeCell ref="F10:T10"/>
    <mergeCell ref="B50:J50"/>
    <mergeCell ref="D68:J68"/>
    <mergeCell ref="B53:D53"/>
    <mergeCell ref="D55:J55"/>
    <mergeCell ref="B56:B66"/>
    <mergeCell ref="D56:J56"/>
    <mergeCell ref="D57:J57"/>
    <mergeCell ref="D58:J58"/>
    <mergeCell ref="D59:J59"/>
    <mergeCell ref="D60:J60"/>
    <mergeCell ref="D61:J61"/>
    <mergeCell ref="D62:J62"/>
    <mergeCell ref="D63:J63"/>
    <mergeCell ref="D64:J64"/>
  </mergeCells>
  <conditionalFormatting sqref="F11">
    <cfRule type="expression" dxfId="137" priority="2">
      <formula>E11="NO SE REPORTA"</formula>
    </cfRule>
    <cfRule type="expression" dxfId="136" priority="3">
      <formula>E10="NO APLICA"</formula>
    </cfRule>
  </conditionalFormatting>
  <conditionalFormatting sqref="E12">
    <cfRule type="expression" dxfId="135"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6:E18 E21:H22">
      <formula1>0</formula1>
    </dataValidation>
    <dataValidation allowBlank="1" showInputMessage="1" showErrorMessage="1" sqref="I21:I22"/>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75"/>
  <sheetViews>
    <sheetView showGridLines="0" zoomScale="98" zoomScaleNormal="98" workbookViewId="0">
      <selection activeCell="M17" sqref="M17"/>
    </sheetView>
  </sheetViews>
  <sheetFormatPr baseColWidth="10" defaultRowHeight="15"/>
  <cols>
    <col min="1" max="1" width="1.85546875" customWidth="1"/>
    <col min="2" max="2" width="12.85546875" customWidth="1"/>
    <col min="3" max="3" width="5" style="86" bestFit="1" customWidth="1"/>
    <col min="4" max="4" width="34.85546875" customWidth="1"/>
    <col min="5" max="5" width="12.140625" customWidth="1"/>
  </cols>
  <sheetData>
    <row r="1" spans="1:21" s="490" customFormat="1" ht="100.5" customHeight="1" thickBot="1">
      <c r="A1" s="1334"/>
      <c r="B1" s="1335"/>
      <c r="C1" s="1335"/>
      <c r="D1" s="1335"/>
      <c r="E1" s="1335"/>
      <c r="F1" s="1335"/>
      <c r="G1" s="1335"/>
      <c r="H1" s="1335"/>
      <c r="I1" s="1335"/>
      <c r="J1" s="1335"/>
      <c r="K1" s="1335"/>
      <c r="L1" s="1335"/>
      <c r="M1" s="1335"/>
      <c r="N1" s="1335"/>
      <c r="O1" s="1335"/>
      <c r="P1" s="1336"/>
      <c r="Q1" s="389"/>
      <c r="R1" s="389"/>
    </row>
    <row r="2" spans="1:21" s="491" customFormat="1" ht="16.5" thickBot="1">
      <c r="A2" s="1342" t="str">
        <f>'Datos Generales'!C5</f>
        <v>Corporación Autónoma Regional del Cesar – CORPOCESAR</v>
      </c>
      <c r="B2" s="1343"/>
      <c r="C2" s="1343"/>
      <c r="D2" s="1343"/>
      <c r="E2" s="1343"/>
      <c r="F2" s="1343"/>
      <c r="G2" s="1343"/>
      <c r="H2" s="1343"/>
      <c r="I2" s="1343"/>
      <c r="J2" s="1343"/>
      <c r="K2" s="1343"/>
      <c r="L2" s="1343"/>
      <c r="M2" s="1343"/>
      <c r="N2" s="1343"/>
      <c r="O2" s="1343"/>
      <c r="P2" s="1344"/>
      <c r="Q2" s="389"/>
      <c r="R2" s="389"/>
    </row>
    <row r="3" spans="1:21" s="491" customFormat="1" ht="16.5" thickBot="1">
      <c r="A3" s="1337" t="s">
        <v>1294</v>
      </c>
      <c r="B3" s="1338"/>
      <c r="C3" s="1338"/>
      <c r="D3" s="1338"/>
      <c r="E3" s="1338"/>
      <c r="F3" s="1338"/>
      <c r="G3" s="1338"/>
      <c r="H3" s="1338"/>
      <c r="I3" s="1338"/>
      <c r="J3" s="1338"/>
      <c r="K3" s="1338"/>
      <c r="L3" s="1338"/>
      <c r="M3" s="1338"/>
      <c r="N3" s="1338"/>
      <c r="O3" s="1338"/>
      <c r="P3" s="1339"/>
      <c r="Q3" s="389"/>
      <c r="R3" s="389"/>
    </row>
    <row r="4" spans="1:21" s="491" customFormat="1" ht="16.5" thickBot="1">
      <c r="A4" s="1340" t="s">
        <v>1293</v>
      </c>
      <c r="B4" s="1341"/>
      <c r="C4" s="1341"/>
      <c r="D4" s="1341"/>
      <c r="E4" s="498">
        <v>2022</v>
      </c>
      <c r="F4" s="498"/>
      <c r="G4" s="498"/>
      <c r="H4" s="498"/>
      <c r="I4" s="498"/>
      <c r="J4" s="498"/>
      <c r="K4" s="498"/>
      <c r="L4" s="499"/>
      <c r="M4" s="499"/>
      <c r="N4" s="499"/>
      <c r="O4" s="499"/>
      <c r="P4" s="500"/>
      <c r="Q4" s="389"/>
      <c r="R4" s="389"/>
    </row>
    <row r="5" spans="1:21" s="235" customFormat="1" ht="16.5" customHeight="1" thickBot="1">
      <c r="A5" s="1337" t="s">
        <v>162</v>
      </c>
      <c r="B5" s="1338"/>
      <c r="C5" s="1338"/>
      <c r="D5" s="1338"/>
      <c r="E5" s="1338"/>
      <c r="F5" s="1338"/>
      <c r="G5" s="1338"/>
      <c r="H5" s="1338"/>
      <c r="I5" s="1338"/>
      <c r="J5" s="1338"/>
      <c r="K5" s="1338"/>
      <c r="L5" s="1338"/>
      <c r="M5" s="1338"/>
      <c r="N5" s="1338"/>
      <c r="O5" s="1338"/>
      <c r="P5" s="1339"/>
    </row>
    <row r="6" spans="1:21">
      <c r="A6" s="235"/>
      <c r="B6" s="239" t="s">
        <v>1</v>
      </c>
      <c r="C6" s="240"/>
      <c r="D6" s="238"/>
      <c r="E6" s="248"/>
      <c r="F6" s="238" t="s">
        <v>128</v>
      </c>
      <c r="G6" s="238"/>
      <c r="H6" s="238"/>
      <c r="I6" s="238"/>
      <c r="J6" s="238"/>
      <c r="K6" s="238"/>
    </row>
    <row r="7" spans="1:21" ht="15.75" thickBot="1">
      <c r="A7" s="235"/>
      <c r="B7" s="241"/>
      <c r="C7" s="242"/>
      <c r="D7" s="238"/>
      <c r="E7" s="243"/>
      <c r="F7" s="238" t="s">
        <v>129</v>
      </c>
      <c r="G7" s="238"/>
      <c r="H7" s="238"/>
      <c r="I7" s="238"/>
      <c r="J7" s="238"/>
      <c r="K7" s="238"/>
    </row>
    <row r="8" spans="1:21" ht="15.75" thickBot="1">
      <c r="A8" s="235"/>
      <c r="B8" s="250" t="s">
        <v>1181</v>
      </c>
      <c r="C8" s="251">
        <v>2022</v>
      </c>
      <c r="D8" s="246">
        <f>IF(E10="NO APLICA","NO APLICA",IF(E11="NO SE REPORTA","SIN INFORMACION",+F22))</f>
        <v>1</v>
      </c>
      <c r="E8" s="253"/>
      <c r="F8" s="238" t="s">
        <v>130</v>
      </c>
      <c r="G8" s="238"/>
      <c r="H8" s="238"/>
      <c r="I8" s="238"/>
      <c r="J8" s="238"/>
      <c r="K8" s="238"/>
    </row>
    <row r="9" spans="1:21">
      <c r="A9" s="235"/>
      <c r="B9" s="462" t="s">
        <v>1182</v>
      </c>
      <c r="C9" s="292"/>
      <c r="D9" s="238"/>
      <c r="E9" s="238"/>
      <c r="F9" s="238"/>
      <c r="G9" s="238"/>
      <c r="H9" s="238"/>
      <c r="I9" s="238"/>
      <c r="J9" s="238"/>
      <c r="K9" s="238"/>
    </row>
    <row r="10" spans="1:21" s="389" customFormat="1">
      <c r="A10" s="235"/>
      <c r="B10" s="1392" t="s">
        <v>1236</v>
      </c>
      <c r="C10" s="1392"/>
      <c r="D10" s="1392"/>
      <c r="E10" s="468" t="s">
        <v>1233</v>
      </c>
      <c r="F10" s="1412" t="s">
        <v>2095</v>
      </c>
      <c r="G10" s="1412"/>
      <c r="H10" s="1412"/>
      <c r="I10" s="1412"/>
      <c r="J10" s="1412"/>
      <c r="K10" s="1412"/>
      <c r="L10" s="1412"/>
      <c r="M10" s="1412"/>
      <c r="N10" s="1412"/>
      <c r="O10" s="1412"/>
      <c r="P10" s="1412"/>
      <c r="Q10" s="1412"/>
      <c r="R10" s="1412"/>
      <c r="S10" s="1141"/>
      <c r="T10" s="464"/>
      <c r="U10" s="464"/>
    </row>
    <row r="11" spans="1:21" s="389" customFormat="1" ht="14.45" customHeight="1">
      <c r="A11" s="235"/>
      <c r="B11" s="465"/>
      <c r="C11" s="466"/>
      <c r="D11" s="467" t="str">
        <f>IF(E10="SI APLICA","¿El indicador no se reporta por limitaciones de información disponible? ","")</f>
        <v xml:space="preserve">¿El indicador no se reporta por limitaciones de información disponible? </v>
      </c>
      <c r="E11" s="469" t="s">
        <v>1235</v>
      </c>
      <c r="F11" s="1412"/>
      <c r="G11" s="1412"/>
      <c r="H11" s="1412"/>
      <c r="I11" s="1412"/>
      <c r="J11" s="1412"/>
      <c r="K11" s="1412"/>
      <c r="L11" s="1412"/>
      <c r="M11" s="1412"/>
      <c r="N11" s="1412"/>
      <c r="O11" s="1412"/>
      <c r="P11" s="1412"/>
      <c r="Q11" s="1412"/>
      <c r="R11" s="1412"/>
      <c r="S11" s="1145"/>
    </row>
    <row r="12" spans="1:21" s="389" customFormat="1" ht="23.45" customHeight="1">
      <c r="A12" s="235"/>
      <c r="B12" s="462"/>
      <c r="C12" s="292"/>
      <c r="D12" s="467" t="str">
        <f>IF(E11="SI SE REPORTA","¿Qué programas o proyectos del Plan de Acción están asociados al indicador? ","")</f>
        <v xml:space="preserve">¿Qué programas o proyectos del Plan de Acción están asociados al indicador? </v>
      </c>
      <c r="E12" s="1411" t="s">
        <v>2106</v>
      </c>
      <c r="F12" s="1411"/>
      <c r="G12" s="1411"/>
      <c r="H12" s="1411"/>
      <c r="I12" s="1411"/>
      <c r="J12" s="1411"/>
      <c r="K12" s="1411"/>
      <c r="L12" s="1411"/>
      <c r="M12" s="1411"/>
      <c r="N12" s="1411"/>
      <c r="O12" s="1411"/>
      <c r="P12" s="1411"/>
      <c r="Q12" s="1411"/>
      <c r="R12" s="1411"/>
    </row>
    <row r="13" spans="1:21" s="389" customFormat="1" ht="33.75" customHeight="1">
      <c r="A13" s="235"/>
      <c r="B13" s="462"/>
      <c r="C13" s="292"/>
      <c r="D13" s="467" t="s">
        <v>1238</v>
      </c>
      <c r="E13" s="1398" t="s">
        <v>2166</v>
      </c>
      <c r="F13" s="1398"/>
      <c r="G13" s="1398"/>
      <c r="H13" s="1398"/>
      <c r="I13" s="1398"/>
      <c r="J13" s="1398"/>
      <c r="K13" s="1398"/>
      <c r="L13" s="1398"/>
      <c r="M13" s="1398"/>
      <c r="N13" s="1398"/>
      <c r="O13" s="1398"/>
      <c r="P13" s="1398"/>
      <c r="Q13" s="1398"/>
      <c r="R13" s="1398"/>
    </row>
    <row r="14" spans="1:21" s="389" customFormat="1" ht="6.95" customHeight="1" thickBot="1">
      <c r="A14" s="235"/>
      <c r="B14" s="462"/>
      <c r="C14" s="292"/>
      <c r="D14" s="238"/>
      <c r="E14" s="238"/>
      <c r="F14" s="238"/>
      <c r="G14" s="238"/>
      <c r="H14" s="238"/>
      <c r="I14" s="238"/>
      <c r="J14" s="238"/>
      <c r="K14" s="238"/>
    </row>
    <row r="15" spans="1:21" ht="15.75" thickBot="1">
      <c r="A15" s="235"/>
      <c r="B15" s="1369" t="s">
        <v>2</v>
      </c>
      <c r="C15" s="257"/>
      <c r="D15" s="1351" t="s">
        <v>3</v>
      </c>
      <c r="E15" s="1352"/>
      <c r="F15" s="1352"/>
      <c r="G15" s="1352"/>
      <c r="H15" s="1352"/>
      <c r="I15" s="1352"/>
      <c r="J15" s="1353"/>
      <c r="K15" s="238"/>
    </row>
    <row r="16" spans="1:21" ht="96" customHeight="1" thickBot="1">
      <c r="A16" s="235"/>
      <c r="B16" s="1370"/>
      <c r="C16" s="261"/>
      <c r="D16" s="262" t="s">
        <v>176</v>
      </c>
      <c r="E16" s="208">
        <v>15</v>
      </c>
      <c r="F16" s="1416" t="s">
        <v>2167</v>
      </c>
      <c r="G16" s="1417"/>
      <c r="H16" s="1417"/>
      <c r="I16" s="1417"/>
      <c r="J16" s="1418"/>
      <c r="K16" s="238"/>
    </row>
    <row r="17" spans="1:11" ht="48.75" thickBot="1">
      <c r="A17" s="235"/>
      <c r="B17" s="1370"/>
      <c r="C17" s="261"/>
      <c r="D17" s="264" t="s">
        <v>177</v>
      </c>
      <c r="E17" s="208">
        <v>25</v>
      </c>
      <c r="F17" s="238"/>
      <c r="G17" s="238"/>
      <c r="H17" s="238"/>
      <c r="I17" s="238"/>
      <c r="J17" s="263"/>
      <c r="K17" s="238"/>
    </row>
    <row r="18" spans="1:11" ht="15.75" thickBot="1">
      <c r="A18" s="235"/>
      <c r="B18" s="1370"/>
      <c r="C18" s="265"/>
      <c r="D18" s="1381"/>
      <c r="E18" s="1382"/>
      <c r="F18" s="1382"/>
      <c r="G18" s="1382"/>
      <c r="H18" s="1382"/>
      <c r="I18" s="1382"/>
      <c r="J18" s="1383"/>
      <c r="K18" s="238"/>
    </row>
    <row r="19" spans="1:11" ht="15.75" thickBot="1">
      <c r="A19" s="235"/>
      <c r="B19" s="1370"/>
      <c r="C19" s="268" t="s">
        <v>19</v>
      </c>
      <c r="D19" s="262" t="s">
        <v>150</v>
      </c>
      <c r="E19" s="269" t="s">
        <v>20</v>
      </c>
      <c r="F19" s="269" t="s">
        <v>21</v>
      </c>
      <c r="G19" s="269" t="s">
        <v>22</v>
      </c>
      <c r="H19" s="269" t="s">
        <v>23</v>
      </c>
      <c r="I19" s="225" t="s">
        <v>55</v>
      </c>
      <c r="J19" s="111"/>
      <c r="K19" s="238"/>
    </row>
    <row r="20" spans="1:11" ht="36.75" thickBot="1">
      <c r="A20" s="235"/>
      <c r="B20" s="1370"/>
      <c r="C20" s="271" t="s">
        <v>152</v>
      </c>
      <c r="D20" s="264" t="s">
        <v>178</v>
      </c>
      <c r="E20" s="208">
        <v>25</v>
      </c>
      <c r="F20" s="208">
        <v>25</v>
      </c>
      <c r="G20" s="208">
        <v>25</v>
      </c>
      <c r="H20" s="208"/>
      <c r="I20" s="31"/>
      <c r="J20" s="112"/>
      <c r="K20" s="238"/>
    </row>
    <row r="21" spans="1:11" ht="36.75" thickBot="1">
      <c r="A21" s="235"/>
      <c r="B21" s="1370"/>
      <c r="C21" s="271" t="s">
        <v>154</v>
      </c>
      <c r="D21" s="264" t="s">
        <v>179</v>
      </c>
      <c r="E21" s="208">
        <v>25</v>
      </c>
      <c r="F21" s="208">
        <v>25</v>
      </c>
      <c r="G21" s="208">
        <v>25</v>
      </c>
      <c r="H21" s="208"/>
      <c r="I21" s="31"/>
      <c r="J21" s="112"/>
      <c r="K21" s="238"/>
    </row>
    <row r="22" spans="1:11" ht="36.75" thickBot="1">
      <c r="A22" s="235"/>
      <c r="B22" s="1371"/>
      <c r="C22" s="271" t="s">
        <v>156</v>
      </c>
      <c r="D22" s="264" t="s">
        <v>180</v>
      </c>
      <c r="E22" s="189">
        <f>IFERROR(E21/E20,"N.A.")</f>
        <v>1</v>
      </c>
      <c r="F22" s="189">
        <f>IFERROR(F21/F20,"N.A.")</f>
        <v>1</v>
      </c>
      <c r="G22" s="189">
        <f>IFERROR(G21/G20,"N.A.")</f>
        <v>1</v>
      </c>
      <c r="H22" s="189" t="str">
        <f>IFERROR(H21/H20,"N.A.")</f>
        <v>N.A.</v>
      </c>
      <c r="I22" s="461"/>
      <c r="J22" s="113"/>
      <c r="K22" s="238"/>
    </row>
    <row r="23" spans="1:11" ht="24" customHeight="1" thickBot="1">
      <c r="A23" s="235"/>
      <c r="B23" s="274" t="s">
        <v>34</v>
      </c>
      <c r="C23" s="275"/>
      <c r="D23" s="1378" t="s">
        <v>181</v>
      </c>
      <c r="E23" s="1379"/>
      <c r="F23" s="1379"/>
      <c r="G23" s="1379"/>
      <c r="H23" s="1379"/>
      <c r="I23" s="1379"/>
      <c r="J23" s="1380"/>
      <c r="K23" s="238"/>
    </row>
    <row r="24" spans="1:11" ht="24.75" thickBot="1">
      <c r="A24" s="235"/>
      <c r="B24" s="274" t="s">
        <v>36</v>
      </c>
      <c r="C24" s="275"/>
      <c r="D24" s="1378" t="s">
        <v>159</v>
      </c>
      <c r="E24" s="1379"/>
      <c r="F24" s="1379"/>
      <c r="G24" s="1379"/>
      <c r="H24" s="1379"/>
      <c r="I24" s="1379"/>
      <c r="J24" s="1380"/>
      <c r="K24" s="238"/>
    </row>
    <row r="25" spans="1:11" ht="15.75" thickBot="1">
      <c r="A25" s="235"/>
      <c r="B25" s="239"/>
      <c r="C25" s="240"/>
      <c r="D25" s="238"/>
      <c r="E25" s="238"/>
      <c r="F25" s="238"/>
      <c r="G25" s="238"/>
      <c r="H25" s="238"/>
      <c r="I25" s="238"/>
      <c r="J25" s="238"/>
      <c r="K25" s="238"/>
    </row>
    <row r="26" spans="1:11" ht="24" customHeight="1" thickBot="1">
      <c r="A26" s="235"/>
      <c r="B26" s="1366" t="s">
        <v>38</v>
      </c>
      <c r="C26" s="1367"/>
      <c r="D26" s="1367"/>
      <c r="E26" s="1368"/>
      <c r="F26" s="238"/>
      <c r="G26" s="238"/>
      <c r="H26" s="238"/>
      <c r="I26" s="238"/>
      <c r="J26" s="238"/>
      <c r="K26" s="238"/>
    </row>
    <row r="27" spans="1:11" ht="15.75" thickBot="1">
      <c r="A27" s="235"/>
      <c r="B27" s="1369">
        <v>1</v>
      </c>
      <c r="C27" s="261"/>
      <c r="D27" s="278" t="s">
        <v>39</v>
      </c>
      <c r="E27" s="554"/>
      <c r="F27" s="238"/>
      <c r="G27" s="238"/>
      <c r="H27" s="238"/>
      <c r="I27" s="238"/>
      <c r="J27" s="238"/>
      <c r="K27" s="238"/>
    </row>
    <row r="28" spans="1:11" ht="36.75" thickBot="1">
      <c r="A28" s="235"/>
      <c r="B28" s="1370"/>
      <c r="C28" s="261"/>
      <c r="D28" s="264" t="s">
        <v>40</v>
      </c>
      <c r="E28" s="554" t="s">
        <v>1363</v>
      </c>
      <c r="F28" s="238"/>
      <c r="G28" s="238"/>
      <c r="H28" s="238"/>
      <c r="I28" s="238"/>
      <c r="J28" s="238"/>
      <c r="K28" s="238"/>
    </row>
    <row r="29" spans="1:11" ht="24.75" thickBot="1">
      <c r="A29" s="235"/>
      <c r="B29" s="1370"/>
      <c r="C29" s="261"/>
      <c r="D29" s="264" t="s">
        <v>41</v>
      </c>
      <c r="E29" s="554" t="s">
        <v>1372</v>
      </c>
      <c r="F29" s="238"/>
      <c r="G29" s="238"/>
      <c r="H29" s="238"/>
      <c r="I29" s="238"/>
      <c r="J29" s="238"/>
      <c r="K29" s="238"/>
    </row>
    <row r="30" spans="1:11" ht="24.75" thickBot="1">
      <c r="A30" s="235"/>
      <c r="B30" s="1370"/>
      <c r="C30" s="261"/>
      <c r="D30" s="264" t="s">
        <v>42</v>
      </c>
      <c r="E30" s="554" t="s">
        <v>1373</v>
      </c>
      <c r="F30" s="238"/>
      <c r="G30" s="238"/>
      <c r="H30" s="238"/>
      <c r="I30" s="238"/>
      <c r="J30" s="238"/>
      <c r="K30" s="238"/>
    </row>
    <row r="31" spans="1:11" ht="60.75" thickBot="1">
      <c r="A31" s="235"/>
      <c r="B31" s="1370"/>
      <c r="C31" s="261"/>
      <c r="D31" s="264" t="s">
        <v>43</v>
      </c>
      <c r="E31" s="579" t="s">
        <v>1374</v>
      </c>
      <c r="F31" s="238"/>
      <c r="G31" s="238"/>
      <c r="H31" s="238"/>
      <c r="I31" s="238"/>
      <c r="J31" s="238"/>
      <c r="K31" s="238"/>
    </row>
    <row r="32" spans="1:11" ht="15.75" thickBot="1">
      <c r="A32" s="235"/>
      <c r="B32" s="1370"/>
      <c r="C32" s="261"/>
      <c r="D32" s="264" t="s">
        <v>44</v>
      </c>
      <c r="E32" s="554">
        <v>5748960</v>
      </c>
      <c r="F32" s="238"/>
      <c r="G32" s="238"/>
      <c r="H32" s="238"/>
      <c r="I32" s="238"/>
      <c r="J32" s="238"/>
      <c r="K32" s="238"/>
    </row>
    <row r="33" spans="1:11" ht="36.75" thickBot="1">
      <c r="A33" s="235"/>
      <c r="B33" s="1371"/>
      <c r="C33" s="271"/>
      <c r="D33" s="264" t="s">
        <v>45</v>
      </c>
      <c r="E33" s="554" t="s">
        <v>1375</v>
      </c>
      <c r="F33" s="238"/>
      <c r="G33" s="238"/>
      <c r="H33" s="238"/>
      <c r="I33" s="238"/>
      <c r="J33" s="238"/>
      <c r="K33" s="238"/>
    </row>
    <row r="34" spans="1:11" ht="15.75" thickBot="1">
      <c r="A34" s="235"/>
      <c r="B34" s="239"/>
      <c r="C34" s="240"/>
      <c r="D34" s="238"/>
      <c r="E34" s="238"/>
      <c r="F34" s="238"/>
      <c r="G34" s="238"/>
      <c r="H34" s="238"/>
      <c r="I34" s="238"/>
      <c r="J34" s="238"/>
      <c r="K34" s="238"/>
    </row>
    <row r="35" spans="1:11" ht="15.75" thickBot="1">
      <c r="A35" s="235"/>
      <c r="B35" s="1366" t="s">
        <v>46</v>
      </c>
      <c r="C35" s="1367"/>
      <c r="D35" s="1367"/>
      <c r="E35" s="1368"/>
      <c r="F35" s="238"/>
      <c r="G35" s="238"/>
      <c r="H35" s="238"/>
      <c r="I35" s="238"/>
      <c r="J35" s="238"/>
      <c r="K35" s="238"/>
    </row>
    <row r="36" spans="1:11" ht="60.75" thickBot="1">
      <c r="A36" s="235"/>
      <c r="B36" s="1369">
        <v>1</v>
      </c>
      <c r="C36" s="261"/>
      <c r="D36" s="278" t="s">
        <v>39</v>
      </c>
      <c r="E36" s="578" t="s">
        <v>47</v>
      </c>
      <c r="F36" s="238"/>
      <c r="G36" s="238"/>
      <c r="H36" s="238"/>
      <c r="I36" s="238"/>
      <c r="J36" s="238"/>
      <c r="K36" s="238"/>
    </row>
    <row r="37" spans="1:11" ht="84.75" thickBot="1">
      <c r="A37" s="235"/>
      <c r="B37" s="1370"/>
      <c r="C37" s="261"/>
      <c r="D37" s="264" t="s">
        <v>40</v>
      </c>
      <c r="E37" s="578" t="s">
        <v>160</v>
      </c>
      <c r="F37" s="238"/>
      <c r="G37" s="238"/>
      <c r="H37" s="238"/>
      <c r="I37" s="238"/>
      <c r="J37" s="238"/>
      <c r="K37" s="238"/>
    </row>
    <row r="38" spans="1:11" ht="15.75" thickBot="1">
      <c r="A38" s="235"/>
      <c r="B38" s="1370"/>
      <c r="C38" s="261"/>
      <c r="D38" s="264" t="s">
        <v>41</v>
      </c>
      <c r="E38" s="291"/>
      <c r="F38" s="238"/>
      <c r="G38" s="238"/>
      <c r="H38" s="238"/>
      <c r="I38" s="238"/>
      <c r="J38" s="238"/>
      <c r="K38" s="238"/>
    </row>
    <row r="39" spans="1:11" ht="15.75" thickBot="1">
      <c r="A39" s="235"/>
      <c r="B39" s="1370"/>
      <c r="C39" s="261"/>
      <c r="D39" s="264" t="s">
        <v>42</v>
      </c>
      <c r="E39" s="291"/>
      <c r="F39" s="238"/>
      <c r="G39" s="238"/>
      <c r="H39" s="238"/>
      <c r="I39" s="238"/>
      <c r="J39" s="238"/>
      <c r="K39" s="238"/>
    </row>
    <row r="40" spans="1:11" ht="15.75" thickBot="1">
      <c r="A40" s="235"/>
      <c r="B40" s="1370"/>
      <c r="C40" s="261"/>
      <c r="D40" s="264" t="s">
        <v>43</v>
      </c>
      <c r="E40" s="291"/>
      <c r="F40" s="238"/>
      <c r="G40" s="238"/>
      <c r="H40" s="238"/>
      <c r="I40" s="238"/>
      <c r="J40" s="238"/>
      <c r="K40" s="238"/>
    </row>
    <row r="41" spans="1:11" ht="15.75" thickBot="1">
      <c r="A41" s="235"/>
      <c r="B41" s="1370"/>
      <c r="C41" s="261"/>
      <c r="D41" s="264" t="s">
        <v>44</v>
      </c>
      <c r="E41" s="291"/>
      <c r="F41" s="238"/>
      <c r="G41" s="238"/>
      <c r="H41" s="238"/>
      <c r="I41" s="238"/>
      <c r="J41" s="238"/>
      <c r="K41" s="238"/>
    </row>
    <row r="42" spans="1:11" ht="15.75" thickBot="1">
      <c r="A42" s="235"/>
      <c r="B42" s="1371"/>
      <c r="C42" s="271"/>
      <c r="D42" s="264" t="s">
        <v>45</v>
      </c>
      <c r="E42" s="291"/>
      <c r="F42" s="238"/>
      <c r="G42" s="238"/>
      <c r="H42" s="238"/>
      <c r="I42" s="238"/>
      <c r="J42" s="238"/>
      <c r="K42" s="238"/>
    </row>
    <row r="43" spans="1:11" ht="15.75" thickBot="1">
      <c r="A43" s="235"/>
      <c r="B43" s="239"/>
      <c r="C43" s="240"/>
      <c r="D43" s="238"/>
      <c r="E43" s="238"/>
      <c r="F43" s="238"/>
      <c r="G43" s="238"/>
      <c r="H43" s="238"/>
      <c r="I43" s="238"/>
      <c r="J43" s="238"/>
      <c r="K43" s="238"/>
    </row>
    <row r="44" spans="1:11" ht="15" customHeight="1" thickBot="1">
      <c r="A44" s="235"/>
      <c r="B44" s="294" t="s">
        <v>49</v>
      </c>
      <c r="C44" s="281"/>
      <c r="D44" s="281"/>
      <c r="E44" s="282"/>
      <c r="F44" s="235"/>
      <c r="G44" s="238"/>
      <c r="H44" s="238"/>
      <c r="I44" s="238"/>
      <c r="J44" s="238"/>
      <c r="K44" s="238"/>
    </row>
    <row r="45" spans="1:11" ht="24.75" thickBot="1">
      <c r="A45" s="235"/>
      <c r="B45" s="274" t="s">
        <v>50</v>
      </c>
      <c r="C45" s="561" t="s">
        <v>51</v>
      </c>
      <c r="D45" s="561" t="s">
        <v>52</v>
      </c>
      <c r="E45" s="561" t="s">
        <v>53</v>
      </c>
      <c r="F45" s="238"/>
      <c r="G45" s="238"/>
      <c r="H45" s="238"/>
      <c r="I45" s="238"/>
      <c r="J45" s="238"/>
      <c r="K45" s="235"/>
    </row>
    <row r="46" spans="1:11" ht="72.75" thickBot="1">
      <c r="A46" s="235"/>
      <c r="B46" s="284">
        <v>42401</v>
      </c>
      <c r="C46" s="264">
        <v>0.01</v>
      </c>
      <c r="D46" s="295" t="s">
        <v>182</v>
      </c>
      <c r="E46" s="264"/>
      <c r="F46" s="238"/>
      <c r="G46" s="238"/>
      <c r="H46" s="238"/>
      <c r="I46" s="238"/>
      <c r="J46" s="238"/>
      <c r="K46" s="235"/>
    </row>
    <row r="47" spans="1:11" ht="15.75" thickBot="1">
      <c r="A47" s="235"/>
      <c r="B47" s="296"/>
      <c r="C47" s="297"/>
      <c r="D47" s="238"/>
      <c r="E47" s="238"/>
      <c r="F47" s="238"/>
      <c r="G47" s="238"/>
      <c r="H47" s="238"/>
      <c r="I47" s="238"/>
      <c r="J47" s="238"/>
      <c r="K47" s="238"/>
    </row>
    <row r="48" spans="1:11">
      <c r="A48" s="235"/>
      <c r="B48" s="286" t="s">
        <v>55</v>
      </c>
      <c r="C48" s="287"/>
      <c r="D48" s="238"/>
      <c r="E48" s="238"/>
      <c r="F48" s="238"/>
      <c r="G48" s="238"/>
      <c r="H48" s="238"/>
      <c r="I48" s="238"/>
      <c r="J48" s="238"/>
      <c r="K48" s="238"/>
    </row>
    <row r="49" spans="1:11">
      <c r="A49" s="235"/>
      <c r="B49" s="1413"/>
      <c r="C49" s="1414"/>
      <c r="D49" s="1414"/>
      <c r="E49" s="1415"/>
      <c r="F49" s="238"/>
      <c r="G49" s="238"/>
      <c r="H49" s="238"/>
      <c r="I49" s="238"/>
      <c r="J49" s="238"/>
      <c r="K49" s="238"/>
    </row>
    <row r="50" spans="1:11" ht="15.75" thickBot="1">
      <c r="A50" s="235"/>
      <c r="B50" s="238"/>
      <c r="C50" s="254"/>
      <c r="D50" s="238"/>
      <c r="E50" s="238"/>
      <c r="F50" s="238"/>
      <c r="G50" s="238"/>
      <c r="H50" s="238"/>
      <c r="I50" s="238"/>
      <c r="J50" s="238"/>
      <c r="K50" s="238"/>
    </row>
    <row r="51" spans="1:11" ht="24.75" thickBot="1">
      <c r="A51" s="235"/>
      <c r="B51" s="298" t="s">
        <v>56</v>
      </c>
      <c r="C51" s="299"/>
      <c r="D51" s="238"/>
      <c r="E51" s="238"/>
      <c r="F51" s="238"/>
      <c r="G51" s="238"/>
      <c r="H51" s="238"/>
      <c r="I51" s="238"/>
      <c r="J51" s="238"/>
      <c r="K51" s="238"/>
    </row>
    <row r="52" spans="1:11" ht="15.75" thickBot="1">
      <c r="A52" s="235"/>
      <c r="B52" s="239"/>
      <c r="C52" s="240"/>
      <c r="D52" s="238"/>
      <c r="E52" s="238"/>
      <c r="F52" s="238"/>
      <c r="G52" s="238"/>
      <c r="H52" s="238"/>
      <c r="I52" s="238"/>
      <c r="J52" s="238"/>
      <c r="K52" s="238"/>
    </row>
    <row r="53" spans="1:11" ht="60.75" thickBot="1">
      <c r="A53" s="235"/>
      <c r="B53" s="288" t="s">
        <v>57</v>
      </c>
      <c r="C53" s="268"/>
      <c r="D53" s="262" t="s">
        <v>163</v>
      </c>
      <c r="E53" s="238"/>
      <c r="F53" s="238"/>
      <c r="G53" s="238"/>
      <c r="H53" s="238"/>
      <c r="I53" s="238"/>
      <c r="J53" s="238"/>
      <c r="K53" s="238"/>
    </row>
    <row r="54" spans="1:11">
      <c r="A54" s="235"/>
      <c r="B54" s="1369" t="s">
        <v>59</v>
      </c>
      <c r="C54" s="261"/>
      <c r="D54" s="300" t="s">
        <v>60</v>
      </c>
      <c r="E54" s="238"/>
      <c r="F54" s="238"/>
      <c r="G54" s="238"/>
      <c r="H54" s="238"/>
      <c r="I54" s="238"/>
      <c r="J54" s="238"/>
      <c r="K54" s="238"/>
    </row>
    <row r="55" spans="1:11" ht="60">
      <c r="A55" s="235"/>
      <c r="B55" s="1370"/>
      <c r="C55" s="261"/>
      <c r="D55" s="301" t="s">
        <v>164</v>
      </c>
      <c r="E55" s="238"/>
      <c r="F55" s="238"/>
      <c r="G55" s="238"/>
      <c r="H55" s="238"/>
      <c r="I55" s="238"/>
      <c r="J55" s="238"/>
      <c r="K55" s="238"/>
    </row>
    <row r="56" spans="1:11">
      <c r="A56" s="235"/>
      <c r="B56" s="1370"/>
      <c r="C56" s="261"/>
      <c r="D56" s="300" t="s">
        <v>134</v>
      </c>
      <c r="E56" s="238"/>
      <c r="F56" s="238"/>
      <c r="G56" s="238"/>
      <c r="H56" s="238"/>
      <c r="I56" s="238"/>
      <c r="J56" s="238"/>
      <c r="K56" s="238"/>
    </row>
    <row r="57" spans="1:11">
      <c r="A57" s="235"/>
      <c r="B57" s="1370"/>
      <c r="C57" s="261"/>
      <c r="D57" s="301" t="s">
        <v>64</v>
      </c>
      <c r="E57" s="238"/>
      <c r="F57" s="238"/>
      <c r="G57" s="238"/>
      <c r="H57" s="238"/>
      <c r="I57" s="238"/>
      <c r="J57" s="238"/>
      <c r="K57" s="238"/>
    </row>
    <row r="58" spans="1:11">
      <c r="A58" s="235"/>
      <c r="B58" s="1370"/>
      <c r="C58" s="261"/>
      <c r="D58" s="301" t="s">
        <v>165</v>
      </c>
      <c r="E58" s="238"/>
      <c r="F58" s="238"/>
      <c r="G58" s="238"/>
      <c r="H58" s="238"/>
      <c r="I58" s="238"/>
      <c r="J58" s="238"/>
      <c r="K58" s="238"/>
    </row>
    <row r="59" spans="1:11">
      <c r="A59" s="235"/>
      <c r="B59" s="1370"/>
      <c r="C59" s="261"/>
      <c r="D59" s="301" t="s">
        <v>166</v>
      </c>
      <c r="E59" s="238"/>
      <c r="F59" s="238"/>
      <c r="G59" s="238"/>
      <c r="H59" s="238"/>
      <c r="I59" s="238"/>
      <c r="J59" s="238"/>
      <c r="K59" s="238"/>
    </row>
    <row r="60" spans="1:11">
      <c r="A60" s="235"/>
      <c r="B60" s="1370"/>
      <c r="C60" s="261"/>
      <c r="D60" s="301" t="s">
        <v>167</v>
      </c>
      <c r="E60" s="238"/>
      <c r="F60" s="238"/>
      <c r="G60" s="238"/>
      <c r="H60" s="238"/>
      <c r="I60" s="238"/>
      <c r="J60" s="238"/>
      <c r="K60" s="238"/>
    </row>
    <row r="61" spans="1:11">
      <c r="A61" s="235"/>
      <c r="B61" s="1370"/>
      <c r="C61" s="261"/>
      <c r="D61" s="301" t="s">
        <v>168</v>
      </c>
      <c r="E61" s="238"/>
      <c r="F61" s="238"/>
      <c r="G61" s="238"/>
      <c r="H61" s="238"/>
      <c r="I61" s="238"/>
      <c r="J61" s="238"/>
      <c r="K61" s="238"/>
    </row>
    <row r="62" spans="1:11" ht="15.75" thickBot="1">
      <c r="A62" s="235"/>
      <c r="B62" s="1371"/>
      <c r="C62" s="271"/>
      <c r="D62" s="295"/>
      <c r="E62" s="238"/>
      <c r="F62" s="238"/>
      <c r="G62" s="238"/>
      <c r="H62" s="238"/>
      <c r="I62" s="238"/>
      <c r="J62" s="238"/>
      <c r="K62" s="238"/>
    </row>
    <row r="63" spans="1:11" ht="24.75" thickBot="1">
      <c r="A63" s="235"/>
      <c r="B63" s="274" t="s">
        <v>72</v>
      </c>
      <c r="C63" s="271"/>
      <c r="D63" s="264"/>
      <c r="E63" s="238"/>
      <c r="F63" s="238"/>
      <c r="G63" s="238"/>
      <c r="H63" s="238"/>
      <c r="I63" s="238"/>
      <c r="J63" s="238"/>
      <c r="K63" s="238"/>
    </row>
    <row r="64" spans="1:11" ht="108">
      <c r="A64" s="235"/>
      <c r="B64" s="1369" t="s">
        <v>73</v>
      </c>
      <c r="C64" s="261"/>
      <c r="D64" s="301" t="s">
        <v>169</v>
      </c>
      <c r="E64" s="238"/>
      <c r="F64" s="238"/>
      <c r="G64" s="238"/>
      <c r="H64" s="238"/>
      <c r="I64" s="238"/>
      <c r="J64" s="238"/>
      <c r="K64" s="238"/>
    </row>
    <row r="65" spans="1:11" ht="96">
      <c r="A65" s="235"/>
      <c r="B65" s="1370"/>
      <c r="C65" s="261"/>
      <c r="D65" s="301" t="s">
        <v>170</v>
      </c>
      <c r="E65" s="238"/>
      <c r="F65" s="238"/>
      <c r="G65" s="238"/>
      <c r="H65" s="238"/>
      <c r="I65" s="238"/>
      <c r="J65" s="238"/>
      <c r="K65" s="238"/>
    </row>
    <row r="66" spans="1:11" ht="120.75" thickBot="1">
      <c r="A66" s="235"/>
      <c r="B66" s="1371"/>
      <c r="C66" s="271"/>
      <c r="D66" s="264" t="s">
        <v>171</v>
      </c>
      <c r="E66" s="238"/>
      <c r="F66" s="238"/>
      <c r="G66" s="238"/>
      <c r="H66" s="238"/>
      <c r="I66" s="238"/>
      <c r="J66" s="238"/>
      <c r="K66" s="238"/>
    </row>
    <row r="67" spans="1:11">
      <c r="A67" s="235"/>
      <c r="B67" s="1369" t="s">
        <v>90</v>
      </c>
      <c r="C67" s="261"/>
      <c r="D67" s="301"/>
      <c r="E67" s="238"/>
      <c r="F67" s="238"/>
      <c r="G67" s="238"/>
      <c r="H67" s="238"/>
      <c r="I67" s="238"/>
      <c r="J67" s="238"/>
      <c r="K67" s="238"/>
    </row>
    <row r="68" spans="1:11">
      <c r="A68" s="235"/>
      <c r="B68" s="1370"/>
      <c r="C68" s="261"/>
      <c r="D68" s="302"/>
      <c r="E68" s="238"/>
      <c r="F68" s="238"/>
      <c r="G68" s="238"/>
      <c r="H68" s="238"/>
      <c r="I68" s="238"/>
      <c r="J68" s="238"/>
      <c r="K68" s="238"/>
    </row>
    <row r="69" spans="1:11">
      <c r="A69" s="235"/>
      <c r="B69" s="1370"/>
      <c r="C69" s="261"/>
      <c r="D69" s="301" t="s">
        <v>91</v>
      </c>
      <c r="E69" s="238"/>
      <c r="F69" s="238"/>
      <c r="G69" s="238"/>
      <c r="H69" s="238"/>
      <c r="I69" s="238"/>
      <c r="J69" s="238"/>
      <c r="K69" s="238"/>
    </row>
    <row r="70" spans="1:11" ht="37.5">
      <c r="A70" s="235"/>
      <c r="B70" s="1370"/>
      <c r="C70" s="261"/>
      <c r="D70" s="301" t="s">
        <v>172</v>
      </c>
      <c r="E70" s="238"/>
      <c r="F70" s="238"/>
      <c r="G70" s="238"/>
      <c r="H70" s="238"/>
      <c r="I70" s="238"/>
      <c r="J70" s="238"/>
      <c r="K70" s="238"/>
    </row>
    <row r="71" spans="1:11" ht="37.5">
      <c r="A71" s="235"/>
      <c r="B71" s="1370"/>
      <c r="C71" s="261"/>
      <c r="D71" s="301" t="s">
        <v>173</v>
      </c>
      <c r="E71" s="238"/>
      <c r="F71" s="238"/>
      <c r="G71" s="238"/>
      <c r="H71" s="238"/>
      <c r="I71" s="238"/>
      <c r="J71" s="238"/>
      <c r="K71" s="238"/>
    </row>
    <row r="72" spans="1:11" ht="37.5">
      <c r="A72" s="235"/>
      <c r="B72" s="1370"/>
      <c r="C72" s="261"/>
      <c r="D72" s="301" t="s">
        <v>174</v>
      </c>
      <c r="E72" s="238"/>
      <c r="F72" s="238"/>
      <c r="G72" s="238"/>
      <c r="H72" s="238"/>
      <c r="I72" s="238"/>
      <c r="J72" s="238"/>
      <c r="K72" s="238"/>
    </row>
    <row r="73" spans="1:11" ht="48.75" thickBot="1">
      <c r="A73" s="235"/>
      <c r="B73" s="1371"/>
      <c r="C73" s="271"/>
      <c r="D73" s="264" t="s">
        <v>175</v>
      </c>
      <c r="E73" s="238"/>
      <c r="F73" s="238"/>
      <c r="G73" s="238"/>
      <c r="H73" s="238"/>
      <c r="I73" s="238"/>
      <c r="J73" s="238"/>
      <c r="K73" s="238"/>
    </row>
    <row r="74" spans="1:11">
      <c r="A74" s="235"/>
      <c r="B74" s="238"/>
      <c r="C74" s="254"/>
      <c r="D74" s="238"/>
      <c r="E74" s="238"/>
      <c r="F74" s="238"/>
      <c r="G74" s="238"/>
      <c r="H74" s="238"/>
      <c r="I74" s="238"/>
      <c r="J74" s="238"/>
      <c r="K74" s="238"/>
    </row>
    <row r="75" spans="1:11">
      <c r="A75" s="235"/>
      <c r="B75" s="238"/>
      <c r="C75" s="254"/>
      <c r="D75" s="238"/>
      <c r="E75" s="238"/>
      <c r="F75" s="238"/>
      <c r="G75" s="238"/>
      <c r="H75" s="238"/>
      <c r="I75" s="238"/>
      <c r="J75" s="238"/>
      <c r="K75" s="238"/>
    </row>
  </sheetData>
  <mergeCells count="24">
    <mergeCell ref="A1:P1"/>
    <mergeCell ref="A2:P2"/>
    <mergeCell ref="A3:P3"/>
    <mergeCell ref="A4:D4"/>
    <mergeCell ref="A5:P5"/>
    <mergeCell ref="B67:B73"/>
    <mergeCell ref="B15:B22"/>
    <mergeCell ref="D23:J23"/>
    <mergeCell ref="D24:J24"/>
    <mergeCell ref="B26:E26"/>
    <mergeCell ref="B27:B33"/>
    <mergeCell ref="B35:E35"/>
    <mergeCell ref="D15:J15"/>
    <mergeCell ref="D18:J18"/>
    <mergeCell ref="B36:B42"/>
    <mergeCell ref="B54:B62"/>
    <mergeCell ref="B64:B66"/>
    <mergeCell ref="B49:E49"/>
    <mergeCell ref="F16:J16"/>
    <mergeCell ref="B10:D10"/>
    <mergeCell ref="E12:R12"/>
    <mergeCell ref="E13:R13"/>
    <mergeCell ref="F10:R10"/>
    <mergeCell ref="F11:R11"/>
  </mergeCells>
  <conditionalFormatting sqref="S11">
    <cfRule type="expression" dxfId="134" priority="4">
      <formula>R11="NO SE REPORTA"</formula>
    </cfRule>
    <cfRule type="expression" dxfId="133" priority="5">
      <formula>R10="NO APLICA"</formula>
    </cfRule>
  </conditionalFormatting>
  <conditionalFormatting sqref="E12:R12">
    <cfRule type="expression" dxfId="132" priority="3">
      <formula>E11="SI SE REPORTA"</formula>
    </cfRule>
  </conditionalFormatting>
  <conditionalFormatting sqref="F10:F11">
    <cfRule type="expression" dxfId="131" priority="1">
      <formula>E10="NO SE REPORTA"</formula>
    </cfRule>
    <cfRule type="expression" dxfId="130" priority="2">
      <formula>E9="NO APLICA"</formula>
    </cfRule>
  </conditionalFormatting>
  <dataValidations count="3">
    <dataValidation type="whole" operator="greaterThanOrEqual" allowBlank="1" showErrorMessage="1" errorTitle="ERROR" error="Escriba un número igual o mayor que 0" promptTitle="ERROR" prompt="Escriba un número igual o mayor que 0" sqref="E16:E17 E20:H21">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31" r:id="rId1"/>
  </hyperlinks>
  <pageMargins left="0.25" right="0.25" top="0.75" bottom="0.75" header="0.3" footer="0.3"/>
  <pageSetup paperSize="178" orientation="landscape" horizontalDpi="1200" verticalDpi="12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6</vt:i4>
      </vt:variant>
    </vt:vector>
  </HeadingPairs>
  <TitlesOfParts>
    <vt:vector size="42" baseType="lpstr">
      <vt:lpstr>Datos Generales</vt:lpstr>
      <vt:lpstr>Hoja1</vt:lpstr>
      <vt:lpstr>Anexo 1 Matriz Inf Gestión-GD</vt:lpstr>
      <vt:lpstr>Anexo 5.2-A (1)</vt:lpstr>
      <vt:lpstr>Anexo 3 Matriz IMG</vt:lpstr>
      <vt:lpstr>Hoja2</vt:lpstr>
      <vt:lpstr>1POMCAS</vt:lpstr>
      <vt:lpstr>2PORH</vt:lpstr>
      <vt:lpstr>3PSMV</vt:lpstr>
      <vt:lpstr>4UsoAguas</vt:lpstr>
      <vt:lpstr>5PUEAA</vt:lpstr>
      <vt:lpstr>6POMCASejec</vt:lpstr>
      <vt:lpstr>7Clima</vt:lpstr>
      <vt:lpstr>8Suelo</vt:lpstr>
      <vt:lpstr>9RUNAP</vt:lpstr>
      <vt:lpstr>10Paramos</vt:lpstr>
      <vt:lpstr>11Forest</vt:lpstr>
      <vt:lpstr>12PlanesAP</vt:lpstr>
      <vt:lpstr>13Amenaz</vt:lpstr>
      <vt:lpstr>14Invasor</vt:lpstr>
      <vt:lpstr>15Restaura</vt:lpstr>
      <vt:lpstr>16MIZC</vt:lpstr>
      <vt:lpstr>17PGIRS</vt:lpstr>
      <vt:lpstr>18Sector</vt:lpstr>
      <vt:lpstr>19GAU</vt:lpstr>
      <vt:lpstr>20Negoc</vt:lpstr>
      <vt:lpstr>21TiempoT</vt:lpstr>
      <vt:lpstr>22Autor</vt:lpstr>
      <vt:lpstr>23Sanc</vt:lpstr>
      <vt:lpstr>24POT</vt:lpstr>
      <vt:lpstr>25Redes</vt:lpstr>
      <vt:lpstr>26SIAC</vt:lpstr>
      <vt:lpstr>27Educa</vt:lpstr>
      <vt:lpstr>Observa</vt:lpstr>
      <vt:lpstr>Formulas</vt:lpstr>
      <vt:lpstr>Hoja3</vt:lpstr>
      <vt:lpstr>'9RUNAP'!_Toc467769476</vt:lpstr>
      <vt:lpstr>'Anexo 1 Matriz Inf Gestión-GD'!Área_de_impresión</vt:lpstr>
      <vt:lpstr>Lista_CAR</vt:lpstr>
      <vt:lpstr>REPORTE</vt:lpstr>
      <vt:lpstr>SI</vt:lpstr>
      <vt:lpstr>Vigencias</vt:lpstr>
    </vt:vector>
  </TitlesOfParts>
  <Manager>nortiz@claro.net.co</Manager>
  <Company>Derechos protegidos de autor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Material de Capacitación a las CAR</dc:title>
  <dc:creator>Edwin Giovanny Ortiz R.</dc:creator>
  <cp:keywords>Documento No Oficial</cp:keywords>
  <dc:description>Matriz elaborada por Néstor Ortiz Pérez, Consultor GIZ-MADS en el marco de PROMAC</dc:description>
  <cp:lastModifiedBy>Alex</cp:lastModifiedBy>
  <cp:lastPrinted>2016-11-27T02:57:50Z</cp:lastPrinted>
  <dcterms:created xsi:type="dcterms:W3CDTF">2016-11-26T19:57:08Z</dcterms:created>
  <dcterms:modified xsi:type="dcterms:W3CDTF">2023-02-20T19:32:42Z</dcterms:modified>
  <cp:category>Capacitación</cp:category>
  <cp:contentStatus>Preliminar</cp:contentStatus>
</cp:coreProperties>
</file>